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1\temp\Publica-AutoLIMPA\LUCAS - PROCURADORIA\EDITAL ROTATIVO\"/>
    </mc:Choice>
  </mc:AlternateContent>
  <xr:revisionPtr revIDLastSave="0" documentId="8_{2F6DD42B-1EE1-4EDF-8DE1-8B271D5FB514}" xr6:coauthVersionLast="47" xr6:coauthVersionMax="47" xr10:uidLastSave="{00000000-0000-0000-0000-000000000000}"/>
  <bookViews>
    <workbookView xWindow="-120" yWindow="-120" windowWidth="24240" windowHeight="13140" tabRatio="939" firstSheet="6" xr2:uid="{CA2BAF4F-7EB6-42A1-B9CC-6B3A6F56B7CE}"/>
  </bookViews>
  <sheets>
    <sheet name="P1-PREMISSAS" sheetId="1" r:id="rId1"/>
    <sheet name="P2-INSUMOS BÁSICOS" sheetId="2" r:id="rId2"/>
    <sheet name="P3-INVESTIMENTOS INICIAIS" sheetId="3" r:id="rId3"/>
    <sheet name="P4-DESPESA COM PESSOAL" sheetId="4" r:id="rId4"/>
    <sheet name="P5 - DESPESA COM BENEFICIO SOCI" sheetId="5" r:id="rId5"/>
    <sheet name="P6-DESPESA GERAL" sheetId="6" r:id="rId6"/>
    <sheet name="P7 - DESPESA FIXA VEÍCULO" sheetId="7" r:id="rId7"/>
    <sheet name="P8-DESPESA VARIAVEL VEÍCULO" sheetId="8" r:id="rId8"/>
    <sheet name="P9-DEPRECIAÇÃO" sheetId="9" r:id="rId9"/>
    <sheet name="P10-ENCARGOS SOCIAS" sheetId="10" r:id="rId10"/>
    <sheet name="P11-FATURAMENTO" sheetId="12" r:id="rId11"/>
    <sheet name="P12-MODAL DE PAGAMENTO" sheetId="13" r:id="rId12"/>
    <sheet name="P13-CUSTO DO SERVIÇO" sheetId="11" r:id="rId13"/>
    <sheet name="P14-FLUXO DE CAIXA PROJETADO" sheetId="14" r:id="rId14"/>
    <sheet name="P15 - WACC" sheetId="16" r:id="rId1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6" l="1"/>
  <c r="G10" i="16"/>
  <c r="G13" i="16" s="1"/>
  <c r="G6" i="16"/>
  <c r="G15" i="16" l="1"/>
  <c r="C61" i="14"/>
  <c r="G106" i="14"/>
  <c r="H106" i="14"/>
  <c r="J106" i="14"/>
  <c r="K106" i="14"/>
  <c r="I88" i="14"/>
  <c r="J88" i="14"/>
  <c r="K88" i="14"/>
  <c r="H88" i="14"/>
  <c r="G73" i="14"/>
  <c r="G72" i="14"/>
  <c r="G71" i="14"/>
  <c r="G70" i="14"/>
  <c r="G69" i="14"/>
  <c r="G68" i="14"/>
  <c r="C62" i="14"/>
  <c r="G60" i="14"/>
  <c r="C60" i="14"/>
  <c r="H39" i="14"/>
  <c r="I39" i="14"/>
  <c r="J39" i="14"/>
  <c r="K39" i="14"/>
  <c r="H40" i="14"/>
  <c r="I40" i="14"/>
  <c r="J40" i="14"/>
  <c r="K40" i="14"/>
  <c r="H41" i="14"/>
  <c r="I41" i="14"/>
  <c r="J41" i="14"/>
  <c r="K41" i="14"/>
  <c r="G41" i="14"/>
  <c r="G40" i="14"/>
  <c r="G39" i="14"/>
  <c r="F113" i="14"/>
  <c r="C113" i="14"/>
  <c r="F112" i="14"/>
  <c r="C112" i="14"/>
  <c r="F111" i="14"/>
  <c r="C111" i="14"/>
  <c r="C110" i="14"/>
  <c r="C109" i="14"/>
  <c r="C108" i="14"/>
  <c r="C107" i="14"/>
  <c r="G86" i="14"/>
  <c r="I86" i="14" s="1"/>
  <c r="C69" i="14"/>
  <c r="C70" i="14"/>
  <c r="C71" i="14"/>
  <c r="C72" i="14"/>
  <c r="C73" i="14"/>
  <c r="C68" i="14"/>
  <c r="G54" i="14"/>
  <c r="G53" i="14" s="1"/>
  <c r="J53" i="14" s="1"/>
  <c r="G51" i="14"/>
  <c r="H51" i="14" s="1"/>
  <c r="G50" i="14"/>
  <c r="K50" i="14" s="1"/>
  <c r="G48" i="14"/>
  <c r="K48" i="14" s="1"/>
  <c r="G47" i="14"/>
  <c r="J47" i="14" s="1"/>
  <c r="G46" i="14"/>
  <c r="H46" i="14" s="1"/>
  <c r="G45" i="14"/>
  <c r="H45" i="14" s="1"/>
  <c r="G44" i="14"/>
  <c r="K44" i="14" s="1"/>
  <c r="G43" i="14"/>
  <c r="D23" i="14"/>
  <c r="G23" i="14" s="1"/>
  <c r="D21" i="14"/>
  <c r="H21" i="14" s="1"/>
  <c r="G19" i="14"/>
  <c r="K19" i="14" s="1"/>
  <c r="G17" i="14"/>
  <c r="H17" i="14" s="1"/>
  <c r="G15" i="14"/>
  <c r="K15" i="14" s="1"/>
  <c r="G9" i="14"/>
  <c r="H9" i="14" s="1"/>
  <c r="I9" i="14" s="1"/>
  <c r="J9" i="14" s="1"/>
  <c r="K9" i="14" s="1"/>
  <c r="D11" i="14"/>
  <c r="K11" i="14" s="1"/>
  <c r="F46" i="3"/>
  <c r="F47" i="3" s="1"/>
  <c r="E15" i="12"/>
  <c r="F17" i="12" s="1"/>
  <c r="G19" i="16" l="1"/>
  <c r="G25" i="16"/>
  <c r="G26" i="16" s="1"/>
  <c r="J44" i="14"/>
  <c r="I44" i="14"/>
  <c r="H53" i="14"/>
  <c r="I53" i="14"/>
  <c r="H86" i="14"/>
  <c r="J50" i="14"/>
  <c r="J11" i="14"/>
  <c r="J13" i="14" s="1"/>
  <c r="K45" i="14"/>
  <c r="H11" i="14"/>
  <c r="H13" i="14" s="1"/>
  <c r="J38" i="14"/>
  <c r="I19" i="14"/>
  <c r="I38" i="14"/>
  <c r="H54" i="14"/>
  <c r="I50" i="14"/>
  <c r="K86" i="14"/>
  <c r="J19" i="14"/>
  <c r="K23" i="14"/>
  <c r="H38" i="14"/>
  <c r="K54" i="14"/>
  <c r="J86" i="14"/>
  <c r="I23" i="14"/>
  <c r="I47" i="14"/>
  <c r="J54" i="14"/>
  <c r="K13" i="14"/>
  <c r="G21" i="14"/>
  <c r="J23" i="14"/>
  <c r="I11" i="14"/>
  <c r="I13" i="14" s="1"/>
  <c r="H23" i="14"/>
  <c r="K60" i="14"/>
  <c r="K38" i="14"/>
  <c r="I15" i="14"/>
  <c r="K46" i="14"/>
  <c r="H48" i="14"/>
  <c r="K17" i="14"/>
  <c r="K21" i="14"/>
  <c r="I46" i="14"/>
  <c r="J17" i="14"/>
  <c r="J48" i="14"/>
  <c r="J60" i="14"/>
  <c r="I17" i="14"/>
  <c r="I21" i="14"/>
  <c r="I48" i="14"/>
  <c r="J45" i="14"/>
  <c r="I54" i="14"/>
  <c r="J51" i="14"/>
  <c r="I60" i="14"/>
  <c r="J15" i="14"/>
  <c r="H47" i="14"/>
  <c r="J46" i="14"/>
  <c r="H60" i="14"/>
  <c r="J21" i="14"/>
  <c r="K51" i="14"/>
  <c r="G11" i="14"/>
  <c r="G13" i="14" s="1"/>
  <c r="G25" i="14" s="1"/>
  <c r="H15" i="14"/>
  <c r="H19" i="14"/>
  <c r="H44" i="14"/>
  <c r="K47" i="14"/>
  <c r="I45" i="14"/>
  <c r="H50" i="14"/>
  <c r="K53" i="14"/>
  <c r="I51" i="14"/>
  <c r="G42" i="14"/>
  <c r="G38" i="14"/>
  <c r="F19" i="12"/>
  <c r="F21" i="12" s="1"/>
  <c r="K25" i="14" l="1"/>
  <c r="K31" i="14" s="1"/>
  <c r="J25" i="14"/>
  <c r="J28" i="14" s="1"/>
  <c r="H25" i="14"/>
  <c r="H29" i="14" s="1"/>
  <c r="I25" i="14"/>
  <c r="I29" i="14" s="1"/>
  <c r="G29" i="14"/>
  <c r="G28" i="14"/>
  <c r="G32" i="14"/>
  <c r="G30" i="14"/>
  <c r="G31" i="14"/>
  <c r="J42" i="14"/>
  <c r="H42" i="14"/>
  <c r="I42" i="14"/>
  <c r="K42" i="14"/>
  <c r="F9" i="13"/>
  <c r="F5" i="13"/>
  <c r="F10" i="13"/>
  <c r="F6" i="13"/>
  <c r="F7" i="13"/>
  <c r="F23" i="12"/>
  <c r="D113" i="11"/>
  <c r="G113" i="11" s="1"/>
  <c r="F8" i="13"/>
  <c r="K30" i="14" l="1"/>
  <c r="I30" i="14"/>
  <c r="J29" i="14"/>
  <c r="H73" i="14"/>
  <c r="H71" i="14"/>
  <c r="H72" i="14"/>
  <c r="H70" i="14"/>
  <c r="H69" i="14"/>
  <c r="H68" i="14"/>
  <c r="J30" i="14"/>
  <c r="H32" i="14"/>
  <c r="J69" i="14"/>
  <c r="J72" i="14"/>
  <c r="J70" i="14"/>
  <c r="J73" i="14"/>
  <c r="J71" i="14"/>
  <c r="J31" i="14"/>
  <c r="H28" i="14"/>
  <c r="H31" i="14"/>
  <c r="J32" i="14"/>
  <c r="K29" i="14"/>
  <c r="K72" i="14"/>
  <c r="K70" i="14"/>
  <c r="K73" i="14"/>
  <c r="K71" i="14"/>
  <c r="K69" i="14"/>
  <c r="H30" i="14"/>
  <c r="K28" i="14"/>
  <c r="I28" i="14"/>
  <c r="I72" i="14"/>
  <c r="I71" i="14"/>
  <c r="I69" i="14"/>
  <c r="I70" i="14"/>
  <c r="I73" i="14"/>
  <c r="I68" i="14"/>
  <c r="J68" i="14"/>
  <c r="K68" i="14"/>
  <c r="D108" i="11"/>
  <c r="D106" i="11"/>
  <c r="I32" i="14"/>
  <c r="K32" i="14"/>
  <c r="D107" i="11"/>
  <c r="D105" i="11"/>
  <c r="I31" i="14"/>
  <c r="D109" i="11"/>
  <c r="G27" i="14"/>
  <c r="G34" i="14" s="1"/>
  <c r="K27" i="14" l="1"/>
  <c r="K34" i="14" s="1"/>
  <c r="H27" i="14"/>
  <c r="H34" i="14" s="1"/>
  <c r="J27" i="14"/>
  <c r="J34" i="14" s="1"/>
  <c r="I27" i="14"/>
  <c r="I34" i="14" s="1"/>
  <c r="H67" i="14"/>
  <c r="G67" i="14"/>
  <c r="J67" i="14"/>
  <c r="G125" i="11"/>
  <c r="D114" i="11"/>
  <c r="D126" i="11" s="1"/>
  <c r="G114" i="11"/>
  <c r="G126" i="11" s="1"/>
  <c r="G110" i="11"/>
  <c r="G111" i="11" s="1"/>
  <c r="D110" i="11"/>
  <c r="D111" i="11" s="1"/>
  <c r="D125" i="11" s="1"/>
  <c r="B98" i="11"/>
  <c r="D93" i="11"/>
  <c r="G34" i="6"/>
  <c r="G35" i="6"/>
  <c r="D82" i="11" s="1"/>
  <c r="G82" i="11" s="1"/>
  <c r="G36" i="6"/>
  <c r="D83" i="11" s="1"/>
  <c r="G83" i="11" s="1"/>
  <c r="G37" i="6"/>
  <c r="G40" i="6"/>
  <c r="G41" i="6"/>
  <c r="G33" i="6"/>
  <c r="D81" i="11"/>
  <c r="G81" i="11" s="1"/>
  <c r="D84" i="11"/>
  <c r="G84" i="11" s="1"/>
  <c r="D87" i="11"/>
  <c r="G87" i="11" s="1"/>
  <c r="D88" i="11"/>
  <c r="G88" i="11" s="1"/>
  <c r="D80" i="11"/>
  <c r="G80" i="11" s="1"/>
  <c r="B81" i="11"/>
  <c r="B82" i="11"/>
  <c r="B83" i="11"/>
  <c r="B84" i="11"/>
  <c r="B85" i="11"/>
  <c r="B86" i="11"/>
  <c r="B87" i="11"/>
  <c r="B88" i="11"/>
  <c r="B80" i="11"/>
  <c r="D73" i="11"/>
  <c r="G73" i="11" s="1"/>
  <c r="D74" i="11"/>
  <c r="G74" i="11" s="1"/>
  <c r="D75" i="11"/>
  <c r="G75" i="11" s="1"/>
  <c r="D76" i="11"/>
  <c r="G76" i="11" s="1"/>
  <c r="D77" i="11"/>
  <c r="G77" i="11" s="1"/>
  <c r="D72" i="11"/>
  <c r="G72" i="11" s="1"/>
  <c r="B73" i="11"/>
  <c r="B74" i="11"/>
  <c r="B75" i="11"/>
  <c r="B76" i="11"/>
  <c r="B77" i="11"/>
  <c r="B72" i="11"/>
  <c r="D61" i="11"/>
  <c r="G61" i="11" s="1"/>
  <c r="D63" i="11"/>
  <c r="G63" i="11" s="1"/>
  <c r="D64" i="11"/>
  <c r="G64" i="11" s="1"/>
  <c r="D65" i="11"/>
  <c r="G65" i="11" s="1"/>
  <c r="D66" i="11"/>
  <c r="G66" i="11" s="1"/>
  <c r="D67" i="11"/>
  <c r="G67" i="11" s="1"/>
  <c r="D68" i="11"/>
  <c r="G68" i="11" s="1"/>
  <c r="D69" i="11"/>
  <c r="G69" i="11" s="1"/>
  <c r="D60" i="11"/>
  <c r="B61" i="11"/>
  <c r="B62" i="11"/>
  <c r="B63" i="11"/>
  <c r="B64" i="11"/>
  <c r="B65" i="11"/>
  <c r="B66" i="11"/>
  <c r="B67" i="11"/>
  <c r="B68" i="11"/>
  <c r="B69" i="11"/>
  <c r="B60" i="11"/>
  <c r="D54" i="11"/>
  <c r="D55" i="11" s="1"/>
  <c r="B54" i="11"/>
  <c r="B45" i="11"/>
  <c r="B46" i="11"/>
  <c r="B47" i="11"/>
  <c r="B48" i="11"/>
  <c r="B49" i="11"/>
  <c r="B50" i="11"/>
  <c r="B51" i="11"/>
  <c r="B44" i="11"/>
  <c r="D40" i="11"/>
  <c r="D41" i="11"/>
  <c r="G41" i="11" s="1"/>
  <c r="B40" i="11"/>
  <c r="B41" i="11"/>
  <c r="B39" i="11"/>
  <c r="D35" i="11"/>
  <c r="D36" i="11"/>
  <c r="G36" i="11" s="1"/>
  <c r="B35" i="11"/>
  <c r="B36" i="11"/>
  <c r="B34" i="11"/>
  <c r="D30" i="11"/>
  <c r="G30" i="11" s="1"/>
  <c r="D31" i="11"/>
  <c r="G31" i="11" s="1"/>
  <c r="B30" i="11"/>
  <c r="B31" i="11"/>
  <c r="B29" i="11"/>
  <c r="D25" i="11"/>
  <c r="D26" i="11"/>
  <c r="G26" i="11" s="1"/>
  <c r="B25" i="11"/>
  <c r="B26" i="11"/>
  <c r="B24" i="11"/>
  <c r="D17" i="11"/>
  <c r="G17" i="11" s="1"/>
  <c r="D18" i="11"/>
  <c r="G18" i="11" s="1"/>
  <c r="D16" i="11"/>
  <c r="G16" i="11" s="1"/>
  <c r="B17" i="11"/>
  <c r="B18" i="11"/>
  <c r="B16" i="11"/>
  <c r="D11" i="11"/>
  <c r="D12" i="11"/>
  <c r="G12" i="11" s="1"/>
  <c r="D13" i="11"/>
  <c r="G13" i="11" s="1"/>
  <c r="D10" i="11"/>
  <c r="G10" i="11" s="1"/>
  <c r="B11" i="11"/>
  <c r="B12" i="11"/>
  <c r="B13" i="11"/>
  <c r="B7" i="11"/>
  <c r="B6" i="11"/>
  <c r="B10" i="11"/>
  <c r="D6" i="11"/>
  <c r="G6" i="11" s="1"/>
  <c r="C51" i="10"/>
  <c r="D6" i="4" s="1"/>
  <c r="C49" i="10"/>
  <c r="D17" i="4"/>
  <c r="D15" i="4"/>
  <c r="D10" i="4"/>
  <c r="G10" i="4" s="1"/>
  <c r="D11" i="4"/>
  <c r="G11" i="4" s="1"/>
  <c r="D12" i="4"/>
  <c r="G12" i="4" s="1"/>
  <c r="D9" i="4"/>
  <c r="D5" i="4"/>
  <c r="C27" i="9"/>
  <c r="C41" i="9"/>
  <c r="C40" i="9"/>
  <c r="A41" i="9"/>
  <c r="A40" i="9"/>
  <c r="E41" i="9"/>
  <c r="E40" i="9"/>
  <c r="A28" i="9"/>
  <c r="A29" i="9"/>
  <c r="A30" i="9"/>
  <c r="A31" i="9"/>
  <c r="A32" i="9"/>
  <c r="A33" i="9"/>
  <c r="A27" i="9"/>
  <c r="E28" i="9"/>
  <c r="E29" i="9"/>
  <c r="E30" i="9"/>
  <c r="E31" i="9"/>
  <c r="E32" i="9"/>
  <c r="E33" i="9"/>
  <c r="E27" i="9"/>
  <c r="G30" i="9"/>
  <c r="C32" i="9"/>
  <c r="C33" i="9"/>
  <c r="C28" i="9"/>
  <c r="C29" i="9"/>
  <c r="C30" i="9"/>
  <c r="C31" i="9"/>
  <c r="E13" i="9"/>
  <c r="G13" i="9"/>
  <c r="H20" i="9" s="1"/>
  <c r="D19" i="9"/>
  <c r="H8" i="9"/>
  <c r="F31" i="9" s="1"/>
  <c r="H9" i="9"/>
  <c r="F40" i="9" s="1"/>
  <c r="H10" i="9"/>
  <c r="F41" i="9" s="1"/>
  <c r="H7" i="9"/>
  <c r="E19" i="9" s="1"/>
  <c r="I13" i="8"/>
  <c r="G13" i="8"/>
  <c r="J13" i="8" s="1"/>
  <c r="G9" i="8"/>
  <c r="I9" i="8"/>
  <c r="G7" i="8"/>
  <c r="G5" i="8"/>
  <c r="I7" i="8"/>
  <c r="I5" i="8"/>
  <c r="H34" i="7"/>
  <c r="H33" i="7"/>
  <c r="G34" i="7"/>
  <c r="G33" i="7"/>
  <c r="E18" i="7"/>
  <c r="E19" i="7" s="1"/>
  <c r="F42" i="3"/>
  <c r="F43" i="3" s="1"/>
  <c r="E34" i="6"/>
  <c r="E35" i="6"/>
  <c r="E36" i="6"/>
  <c r="E37" i="6"/>
  <c r="E40" i="6"/>
  <c r="E41" i="6"/>
  <c r="E33" i="6"/>
  <c r="C34" i="6"/>
  <c r="C35" i="6"/>
  <c r="C36" i="6"/>
  <c r="C37" i="6"/>
  <c r="C38" i="6"/>
  <c r="C39" i="6"/>
  <c r="C40" i="6"/>
  <c r="C41" i="6"/>
  <c r="C33" i="6"/>
  <c r="E22" i="6"/>
  <c r="E23" i="6"/>
  <c r="E24" i="6"/>
  <c r="E25" i="6"/>
  <c r="E26" i="6"/>
  <c r="E21" i="6"/>
  <c r="G21" i="6" s="1"/>
  <c r="C22" i="6"/>
  <c r="C23" i="6"/>
  <c r="C24" i="6"/>
  <c r="C25" i="6"/>
  <c r="C26" i="6"/>
  <c r="C21" i="6"/>
  <c r="E6" i="6"/>
  <c r="G6" i="6" s="1"/>
  <c r="E7" i="6"/>
  <c r="E8" i="6"/>
  <c r="G8" i="6" s="1"/>
  <c r="E10" i="6"/>
  <c r="G10" i="6" s="1"/>
  <c r="E11" i="6"/>
  <c r="G11" i="6" s="1"/>
  <c r="E12" i="6"/>
  <c r="E13" i="6"/>
  <c r="E14" i="6"/>
  <c r="G14" i="6" s="1"/>
  <c r="E5" i="6"/>
  <c r="G5" i="6" s="1"/>
  <c r="C6" i="6"/>
  <c r="C7" i="6"/>
  <c r="C8" i="6"/>
  <c r="C9" i="6"/>
  <c r="C10" i="6"/>
  <c r="C11" i="6"/>
  <c r="C12" i="6"/>
  <c r="C13" i="6"/>
  <c r="C14" i="6"/>
  <c r="C5" i="6"/>
  <c r="G22" i="6"/>
  <c r="G23" i="6"/>
  <c r="G24" i="6"/>
  <c r="G26" i="6"/>
  <c r="D25" i="6"/>
  <c r="G9" i="6"/>
  <c r="G12" i="6"/>
  <c r="G13" i="6"/>
  <c r="E35" i="5"/>
  <c r="D35" i="5"/>
  <c r="D26" i="5"/>
  <c r="D27" i="5"/>
  <c r="D28" i="5"/>
  <c r="D29" i="5"/>
  <c r="D30" i="5"/>
  <c r="D31" i="5"/>
  <c r="D32" i="5"/>
  <c r="D25" i="5"/>
  <c r="G21" i="5"/>
  <c r="G22" i="5"/>
  <c r="G16" i="5"/>
  <c r="G17" i="5"/>
  <c r="G11" i="5"/>
  <c r="G12" i="5"/>
  <c r="G6" i="5"/>
  <c r="G7" i="5"/>
  <c r="E26" i="5"/>
  <c r="E27" i="5"/>
  <c r="E28" i="5"/>
  <c r="E29" i="5"/>
  <c r="E30" i="5"/>
  <c r="E31" i="5"/>
  <c r="E32" i="5"/>
  <c r="E25" i="5"/>
  <c r="E22" i="5"/>
  <c r="E21" i="5"/>
  <c r="F21" i="5"/>
  <c r="F22" i="5"/>
  <c r="E20" i="5"/>
  <c r="F16" i="5"/>
  <c r="F17" i="5"/>
  <c r="E16" i="5"/>
  <c r="E17" i="5"/>
  <c r="E15" i="5"/>
  <c r="F11" i="5"/>
  <c r="F12" i="5"/>
  <c r="F6" i="5"/>
  <c r="F7" i="5"/>
  <c r="E12" i="5"/>
  <c r="E11" i="5"/>
  <c r="E10" i="5"/>
  <c r="E6" i="5"/>
  <c r="E7" i="5"/>
  <c r="E5" i="5"/>
  <c r="G17" i="4"/>
  <c r="G15" i="4"/>
  <c r="G9" i="4"/>
  <c r="E10" i="4"/>
  <c r="E11" i="4"/>
  <c r="E12" i="4"/>
  <c r="E9" i="4"/>
  <c r="K67" i="14" l="1"/>
  <c r="I67" i="14"/>
  <c r="F19" i="9"/>
  <c r="I11" i="8"/>
  <c r="J11" i="8" s="1"/>
  <c r="G93" i="11"/>
  <c r="D78" i="11"/>
  <c r="G60" i="11"/>
  <c r="G78" i="11"/>
  <c r="G54" i="11"/>
  <c r="G40" i="11"/>
  <c r="G35" i="11"/>
  <c r="G25" i="11"/>
  <c r="G19" i="11"/>
  <c r="D19" i="11"/>
  <c r="D14" i="11"/>
  <c r="G11" i="11"/>
  <c r="D16" i="4"/>
  <c r="G16" i="4" s="1"/>
  <c r="G18" i="4" s="1"/>
  <c r="G13" i="4"/>
  <c r="F30" i="9"/>
  <c r="H30" i="9" s="1"/>
  <c r="F27" i="9"/>
  <c r="F33" i="9"/>
  <c r="F29" i="9"/>
  <c r="F32" i="9"/>
  <c r="F28" i="9"/>
  <c r="G19" i="9"/>
  <c r="H19" i="9" s="1"/>
  <c r="H21" i="9" s="1"/>
  <c r="J9" i="8"/>
  <c r="J5" i="8"/>
  <c r="J7" i="8"/>
  <c r="I34" i="7"/>
  <c r="I33" i="7"/>
  <c r="I35" i="7" s="1"/>
  <c r="I37" i="7" s="1"/>
  <c r="I38" i="7" s="1"/>
  <c r="G25" i="6"/>
  <c r="G28" i="6"/>
  <c r="H23" i="9" l="1"/>
  <c r="D98" i="11"/>
  <c r="G98" i="11" s="1"/>
  <c r="G55" i="11"/>
  <c r="G14" i="11"/>
  <c r="J14" i="8"/>
  <c r="J16" i="8" s="1"/>
  <c r="G30" i="6"/>
  <c r="F6" i="4"/>
  <c r="G6" i="4" s="1"/>
  <c r="D7" i="11" s="1"/>
  <c r="F5" i="4"/>
  <c r="E6" i="4"/>
  <c r="E5" i="4"/>
  <c r="D28" i="3"/>
  <c r="F28" i="3" s="1"/>
  <c r="F39" i="3"/>
  <c r="F38" i="3"/>
  <c r="F37" i="3"/>
  <c r="F32" i="3"/>
  <c r="F33" i="3"/>
  <c r="F34" i="3"/>
  <c r="F31" i="3"/>
  <c r="F27" i="3"/>
  <c r="F15" i="3"/>
  <c r="D7" i="3"/>
  <c r="F7" i="3" s="1"/>
  <c r="F6" i="3"/>
  <c r="F9" i="3"/>
  <c r="F10" i="3"/>
  <c r="F11" i="3"/>
  <c r="F12" i="3"/>
  <c r="F13" i="3"/>
  <c r="F14" i="3"/>
  <c r="F5" i="3"/>
  <c r="F19" i="3"/>
  <c r="G28" i="9" s="1"/>
  <c r="H28" i="9" s="1"/>
  <c r="F20" i="3"/>
  <c r="G29" i="9" s="1"/>
  <c r="H29" i="9" s="1"/>
  <c r="F21" i="3"/>
  <c r="F22" i="3"/>
  <c r="G31" i="9" s="1"/>
  <c r="H31" i="9" s="1"/>
  <c r="F23" i="3"/>
  <c r="G32" i="9" s="1"/>
  <c r="H32" i="9" s="1"/>
  <c r="F24" i="3"/>
  <c r="G33" i="9" s="1"/>
  <c r="H33" i="9" s="1"/>
  <c r="G80" i="2" l="1"/>
  <c r="E39" i="6" s="1"/>
  <c r="G39" i="6" s="1"/>
  <c r="D86" i="11" s="1"/>
  <c r="G86" i="11" s="1"/>
  <c r="G40" i="9"/>
  <c r="H40" i="9" s="1"/>
  <c r="D100" i="11" s="1"/>
  <c r="G100" i="11" s="1"/>
  <c r="G79" i="2"/>
  <c r="E38" i="6" s="1"/>
  <c r="G38" i="6" s="1"/>
  <c r="G41" i="9"/>
  <c r="H41" i="9" s="1"/>
  <c r="J17" i="8"/>
  <c r="D94" i="11"/>
  <c r="G7" i="11"/>
  <c r="G8" i="11" s="1"/>
  <c r="D8" i="11"/>
  <c r="D20" i="11" s="1"/>
  <c r="G5" i="4"/>
  <c r="G7" i="4" s="1"/>
  <c r="G20" i="4" s="1"/>
  <c r="G22" i="4" s="1"/>
  <c r="F35" i="3"/>
  <c r="F110" i="14" s="1"/>
  <c r="I110" i="14" s="1"/>
  <c r="F29" i="3"/>
  <c r="D8" i="3"/>
  <c r="F8" i="3" s="1"/>
  <c r="F16" i="3" s="1"/>
  <c r="F107" i="14" s="1"/>
  <c r="E44" i="2"/>
  <c r="F30" i="5" s="1"/>
  <c r="G30" i="5" s="1"/>
  <c r="D49" i="11" s="1"/>
  <c r="G49" i="11" s="1"/>
  <c r="E43" i="2"/>
  <c r="F29" i="5" s="1"/>
  <c r="G29" i="5" s="1"/>
  <c r="D48" i="11" s="1"/>
  <c r="G48" i="11" s="1"/>
  <c r="E42" i="2"/>
  <c r="F28" i="5" s="1"/>
  <c r="G28" i="5" s="1"/>
  <c r="D47" i="11" s="1"/>
  <c r="G47" i="11" s="1"/>
  <c r="E34" i="2"/>
  <c r="E33" i="2"/>
  <c r="E32" i="2"/>
  <c r="E30" i="2"/>
  <c r="E29" i="2"/>
  <c r="E28" i="2"/>
  <c r="F15" i="5" s="1"/>
  <c r="G15" i="5" s="1"/>
  <c r="E26" i="2"/>
  <c r="E22" i="2"/>
  <c r="E25" i="2"/>
  <c r="E21" i="2"/>
  <c r="E24" i="2"/>
  <c r="F10" i="5" s="1"/>
  <c r="G10" i="5" s="1"/>
  <c r="E20" i="2"/>
  <c r="G43" i="6" l="1"/>
  <c r="G45" i="6" s="1"/>
  <c r="F109" i="14"/>
  <c r="D85" i="11"/>
  <c r="G85" i="11" s="1"/>
  <c r="G89" i="11" s="1"/>
  <c r="G52" i="14" s="1"/>
  <c r="D101" i="11"/>
  <c r="G101" i="11" s="1"/>
  <c r="H42" i="9"/>
  <c r="H44" i="9" s="1"/>
  <c r="G94" i="11"/>
  <c r="G95" i="11" s="1"/>
  <c r="G96" i="11" s="1"/>
  <c r="G123" i="11" s="1"/>
  <c r="D95" i="11"/>
  <c r="D96" i="11" s="1"/>
  <c r="D123" i="11" s="1"/>
  <c r="D34" i="11"/>
  <c r="G18" i="5"/>
  <c r="D7" i="6"/>
  <c r="G7" i="6" s="1"/>
  <c r="F5" i="5"/>
  <c r="G5" i="5" s="1"/>
  <c r="D18" i="3"/>
  <c r="D29" i="11"/>
  <c r="G13" i="5"/>
  <c r="F20" i="5"/>
  <c r="G20" i="5" s="1"/>
  <c r="E48" i="2"/>
  <c r="F35" i="5" s="1"/>
  <c r="G20" i="11"/>
  <c r="G120" i="11" s="1"/>
  <c r="D120" i="11"/>
  <c r="F18" i="3"/>
  <c r="E46" i="2"/>
  <c r="F32" i="5" s="1"/>
  <c r="G32" i="5" s="1"/>
  <c r="D51" i="11" s="1"/>
  <c r="G51" i="11" s="1"/>
  <c r="E45" i="2"/>
  <c r="F31" i="5" s="1"/>
  <c r="G31" i="5" s="1"/>
  <c r="D50" i="11" s="1"/>
  <c r="G50" i="11" s="1"/>
  <c r="E39" i="2"/>
  <c r="F25" i="5" s="1"/>
  <c r="G25" i="5" s="1"/>
  <c r="E41" i="2"/>
  <c r="F27" i="5" s="1"/>
  <c r="G27" i="5" s="1"/>
  <c r="D46" i="11" s="1"/>
  <c r="G46" i="11" s="1"/>
  <c r="E40" i="2"/>
  <c r="F26" i="5" s="1"/>
  <c r="G26" i="5" s="1"/>
  <c r="D45" i="11" s="1"/>
  <c r="G45" i="11" s="1"/>
  <c r="I52" i="14" l="1"/>
  <c r="J52" i="14"/>
  <c r="H52" i="14"/>
  <c r="K52" i="14"/>
  <c r="G49" i="14"/>
  <c r="G62" i="14"/>
  <c r="G89" i="14"/>
  <c r="D89" i="11"/>
  <c r="I109" i="14"/>
  <c r="I106" i="14" s="1"/>
  <c r="F25" i="3"/>
  <c r="G27" i="9"/>
  <c r="H27" i="9" s="1"/>
  <c r="H34" i="9" s="1"/>
  <c r="D24" i="11"/>
  <c r="G8" i="5"/>
  <c r="D62" i="11"/>
  <c r="G16" i="6"/>
  <c r="G29" i="11"/>
  <c r="D32" i="11"/>
  <c r="D39" i="11"/>
  <c r="G23" i="5"/>
  <c r="G33" i="5"/>
  <c r="D44" i="11"/>
  <c r="G34" i="11"/>
  <c r="D37" i="11"/>
  <c r="F108" i="14" l="1"/>
  <c r="F106" i="14" s="1"/>
  <c r="F115" i="14" s="1"/>
  <c r="F117" i="14" s="1"/>
  <c r="F49" i="3"/>
  <c r="K89" i="14"/>
  <c r="I89" i="14"/>
  <c r="H89" i="14"/>
  <c r="J89" i="14"/>
  <c r="K49" i="14"/>
  <c r="K36" i="14" s="1"/>
  <c r="K56" i="14" s="1"/>
  <c r="G36" i="14"/>
  <c r="G56" i="14" s="1"/>
  <c r="J49" i="14"/>
  <c r="J36" i="14" s="1"/>
  <c r="J56" i="14" s="1"/>
  <c r="I49" i="14"/>
  <c r="I36" i="14" s="1"/>
  <c r="I56" i="14" s="1"/>
  <c r="H49" i="14"/>
  <c r="H36" i="14" s="1"/>
  <c r="H56" i="14" s="1"/>
  <c r="I62" i="14"/>
  <c r="H62" i="14"/>
  <c r="J62" i="14"/>
  <c r="K62" i="14"/>
  <c r="G62" i="11"/>
  <c r="D70" i="11"/>
  <c r="D90" i="11" s="1"/>
  <c r="D122" i="11" s="1"/>
  <c r="G38" i="5"/>
  <c r="G40" i="5" s="1"/>
  <c r="G39" i="11"/>
  <c r="D42" i="11"/>
  <c r="G24" i="11"/>
  <c r="D27" i="11"/>
  <c r="G32" i="11"/>
  <c r="G44" i="11"/>
  <c r="D52" i="11"/>
  <c r="H36" i="9"/>
  <c r="D99" i="11"/>
  <c r="H46" i="9"/>
  <c r="G37" i="11"/>
  <c r="G18" i="6"/>
  <c r="G47" i="6"/>
  <c r="G49" i="6" s="1"/>
  <c r="H48" i="9" l="1"/>
  <c r="G61" i="14"/>
  <c r="G87" i="14"/>
  <c r="K57" i="14"/>
  <c r="J57" i="14"/>
  <c r="G57" i="14"/>
  <c r="H57" i="14"/>
  <c r="I57" i="14"/>
  <c r="G27" i="11"/>
  <c r="G42" i="11"/>
  <c r="G99" i="11"/>
  <c r="D102" i="11"/>
  <c r="D103" i="11" s="1"/>
  <c r="D56" i="11"/>
  <c r="D121" i="11" s="1"/>
  <c r="G52" i="11"/>
  <c r="G70" i="11"/>
  <c r="K87" i="14" l="1"/>
  <c r="K85" i="14" s="1"/>
  <c r="H87" i="14"/>
  <c r="H85" i="14" s="1"/>
  <c r="J87" i="14"/>
  <c r="J85" i="14" s="1"/>
  <c r="I87" i="14"/>
  <c r="I85" i="14" s="1"/>
  <c r="G85" i="14"/>
  <c r="J61" i="14"/>
  <c r="J59" i="14" s="1"/>
  <c r="J64" i="14" s="1"/>
  <c r="J75" i="14" s="1"/>
  <c r="J79" i="14" s="1"/>
  <c r="I61" i="14"/>
  <c r="I59" i="14" s="1"/>
  <c r="I64" i="14" s="1"/>
  <c r="I75" i="14" s="1"/>
  <c r="I80" i="14" s="1"/>
  <c r="K61" i="14"/>
  <c r="K59" i="14" s="1"/>
  <c r="K64" i="14" s="1"/>
  <c r="K75" i="14" s="1"/>
  <c r="K80" i="14" s="1"/>
  <c r="H61" i="14"/>
  <c r="H59" i="14" s="1"/>
  <c r="H64" i="14" s="1"/>
  <c r="H75" i="14" s="1"/>
  <c r="H80" i="14" s="1"/>
  <c r="G59" i="14"/>
  <c r="G64" i="14" s="1"/>
  <c r="G75" i="14" s="1"/>
  <c r="G78" i="14" s="1"/>
  <c r="G102" i="11"/>
  <c r="G56" i="11"/>
  <c r="D124" i="11"/>
  <c r="D116" i="11"/>
  <c r="G90" i="11"/>
  <c r="H79" i="14" l="1"/>
  <c r="H78" i="14"/>
  <c r="G80" i="14"/>
  <c r="G79" i="14"/>
  <c r="J78" i="14"/>
  <c r="I79" i="14"/>
  <c r="J80" i="14"/>
  <c r="I78" i="14"/>
  <c r="I77" i="14" s="1"/>
  <c r="I82" i="14" s="1"/>
  <c r="K79" i="14"/>
  <c r="K78" i="14"/>
  <c r="D127" i="11"/>
  <c r="G121" i="11"/>
  <c r="G103" i="11"/>
  <c r="G122" i="11"/>
  <c r="G77" i="14" l="1"/>
  <c r="G82" i="14" s="1"/>
  <c r="G104" i="14" s="1"/>
  <c r="G115" i="14" s="1"/>
  <c r="G117" i="14" s="1"/>
  <c r="H77" i="14"/>
  <c r="H82" i="14" s="1"/>
  <c r="H104" i="14" s="1"/>
  <c r="H115" i="14" s="1"/>
  <c r="K77" i="14"/>
  <c r="K82" i="14" s="1"/>
  <c r="K83" i="14" s="1"/>
  <c r="J77" i="14"/>
  <c r="J82" i="14" s="1"/>
  <c r="I104" i="14"/>
  <c r="I115" i="14" s="1"/>
  <c r="I117" i="14" s="1"/>
  <c r="I83" i="14"/>
  <c r="H127" i="11"/>
  <c r="H126" i="11"/>
  <c r="H125" i="11"/>
  <c r="H120" i="11"/>
  <c r="H121" i="11"/>
  <c r="H123" i="11"/>
  <c r="H122" i="11"/>
  <c r="H124" i="11"/>
  <c r="G124" i="11"/>
  <c r="G127" i="11" s="1"/>
  <c r="G116" i="11"/>
  <c r="H103" i="11" s="1"/>
  <c r="G83" i="14" l="1"/>
  <c r="H83" i="14"/>
  <c r="K104" i="14"/>
  <c r="K115" i="14" s="1"/>
  <c r="K117" i="14" s="1"/>
  <c r="H117" i="14"/>
  <c r="H119" i="14" s="1"/>
  <c r="J104" i="14"/>
  <c r="J115" i="14" s="1"/>
  <c r="J117" i="14" s="1"/>
  <c r="J83" i="14"/>
  <c r="H100" i="11"/>
  <c r="H98" i="11"/>
  <c r="H84" i="11"/>
  <c r="H45" i="11"/>
  <c r="H77" i="11"/>
  <c r="H94" i="11"/>
  <c r="H65" i="11"/>
  <c r="H60" i="11"/>
  <c r="H93" i="11"/>
  <c r="H96" i="11"/>
  <c r="H107" i="11"/>
  <c r="H105" i="11"/>
  <c r="H73" i="11"/>
  <c r="H63" i="11"/>
  <c r="H82" i="11"/>
  <c r="H83" i="11"/>
  <c r="H86" i="11"/>
  <c r="H54" i="11"/>
  <c r="H40" i="11"/>
  <c r="H66" i="11"/>
  <c r="H87" i="11"/>
  <c r="H25" i="11"/>
  <c r="H10" i="11"/>
  <c r="H78" i="11"/>
  <c r="H72" i="11"/>
  <c r="H48" i="11"/>
  <c r="H81" i="11"/>
  <c r="H47" i="11"/>
  <c r="H109" i="11"/>
  <c r="H46" i="11"/>
  <c r="H85" i="11"/>
  <c r="H19" i="11"/>
  <c r="H55" i="11"/>
  <c r="H101" i="11"/>
  <c r="H111" i="11"/>
  <c r="H61" i="11"/>
  <c r="H76" i="11"/>
  <c r="H18" i="11"/>
  <c r="H95" i="11"/>
  <c r="H108" i="11"/>
  <c r="H114" i="11"/>
  <c r="H69" i="11"/>
  <c r="H7" i="11"/>
  <c r="H16" i="11"/>
  <c r="H6" i="11"/>
  <c r="H20" i="11"/>
  <c r="H30" i="11"/>
  <c r="H26" i="11"/>
  <c r="H113" i="11"/>
  <c r="H41" i="11"/>
  <c r="H13" i="11"/>
  <c r="H11" i="11"/>
  <c r="H80" i="11"/>
  <c r="H74" i="11"/>
  <c r="H8" i="11"/>
  <c r="H106" i="11"/>
  <c r="H110" i="11"/>
  <c r="H67" i="11"/>
  <c r="H12" i="11"/>
  <c r="H88" i="11"/>
  <c r="H64" i="11"/>
  <c r="H35" i="11"/>
  <c r="H14" i="11"/>
  <c r="H49" i="11"/>
  <c r="H75" i="11"/>
  <c r="H17" i="11"/>
  <c r="H68" i="11"/>
  <c r="H31" i="11"/>
  <c r="H89" i="11"/>
  <c r="H36" i="11"/>
  <c r="H50" i="11"/>
  <c r="H51" i="11"/>
  <c r="H29" i="11"/>
  <c r="H34" i="11"/>
  <c r="H32" i="11"/>
  <c r="H39" i="11"/>
  <c r="H24" i="11"/>
  <c r="H44" i="11"/>
  <c r="H62" i="11"/>
  <c r="H37" i="11"/>
  <c r="H42" i="11"/>
  <c r="H70" i="11"/>
  <c r="H99" i="11"/>
  <c r="H27" i="11"/>
  <c r="H52" i="11"/>
  <c r="H56" i="11"/>
  <c r="H102" i="11"/>
  <c r="H90" i="11"/>
</calcChain>
</file>

<file path=xl/sharedStrings.xml><?xml version="1.0" encoding="utf-8"?>
<sst xmlns="http://schemas.openxmlformats.org/spreadsheetml/2006/main" count="1543" uniqueCount="622">
  <si>
    <r>
      <rPr>
        <b/>
        <sz val="8.5"/>
        <rFont val="Calibri"/>
        <family val="1"/>
      </rPr>
      <t>Planilha 1 - Premissas Básicas para Determinação do Custo do Serviço</t>
    </r>
  </si>
  <si>
    <r>
      <rPr>
        <b/>
        <sz val="7"/>
        <rFont val="Calibri"/>
        <family val="1"/>
      </rPr>
      <t>Ordem</t>
    </r>
  </si>
  <si>
    <r>
      <rPr>
        <b/>
        <sz val="7"/>
        <rFont val="Calibri"/>
        <family val="1"/>
      </rPr>
      <t>Dados</t>
    </r>
  </si>
  <si>
    <r>
      <rPr>
        <b/>
        <sz val="7"/>
        <rFont val="Calibri"/>
        <family val="1"/>
      </rPr>
      <t>Descrição</t>
    </r>
  </si>
  <si>
    <r>
      <rPr>
        <sz val="7"/>
        <rFont val="Calibri"/>
        <family val="1"/>
      </rPr>
      <t>Ano Base</t>
    </r>
  </si>
  <si>
    <r>
      <rPr>
        <sz val="7"/>
        <rFont val="Calibri"/>
        <family val="1"/>
      </rPr>
      <t>Vagas</t>
    </r>
  </si>
  <si>
    <r>
      <rPr>
        <sz val="7"/>
        <rFont val="Calibri"/>
        <family val="1"/>
      </rPr>
      <t>Período de Implantação</t>
    </r>
  </si>
  <si>
    <r>
      <rPr>
        <sz val="7"/>
        <rFont val="Calibri"/>
        <family val="1"/>
      </rPr>
      <t>Ocupação da Vaga</t>
    </r>
  </si>
  <si>
    <r>
      <rPr>
        <sz val="7"/>
        <rFont val="Calibri"/>
        <family val="1"/>
      </rPr>
      <t>Cabem 5 (cinco) motocicletas em cada vaga correspondente a um veículo</t>
    </r>
  </si>
  <si>
    <r>
      <rPr>
        <sz val="7"/>
        <rFont val="Calibri"/>
        <family val="1"/>
      </rPr>
      <t>Despesa com Pessoal</t>
    </r>
  </si>
  <si>
    <r>
      <rPr>
        <sz val="7"/>
        <rFont val="Calibri"/>
        <family val="1"/>
      </rPr>
      <t>Custos formulados em função da demanda e ajustados aos parâmetros e coeficientes de consumo previstos no Projeto Básico.</t>
    </r>
  </si>
  <si>
    <r>
      <rPr>
        <sz val="7"/>
        <rFont val="Calibri"/>
        <family val="1"/>
      </rPr>
      <t>Despesas Operacional</t>
    </r>
  </si>
  <si>
    <r>
      <rPr>
        <sz val="7"/>
        <rFont val="Calibri"/>
        <family val="1"/>
      </rPr>
      <t>Investimentos</t>
    </r>
  </si>
  <si>
    <r>
      <rPr>
        <sz val="7"/>
        <rFont val="Calibri"/>
        <family val="1"/>
      </rPr>
      <t>Gerenciamento</t>
    </r>
  </si>
  <si>
    <r>
      <rPr>
        <sz val="7"/>
        <rFont val="Calibri"/>
        <family val="1"/>
      </rPr>
      <t xml:space="preserve">Os custos operacionais e demais gastos incorridos na execução dos serviços serão de competência da Concessionária, assim como o gerenciamento dos serviços, cabendo à Concessionária recolher aos cofres públicos municipais o valor da
</t>
    </r>
    <r>
      <rPr>
        <sz val="7"/>
        <rFont val="Calibri"/>
        <family val="1"/>
      </rPr>
      <t>outorga onerosa, assim como, os demais tributos.</t>
    </r>
  </si>
  <si>
    <r>
      <rPr>
        <sz val="7"/>
        <rFont val="Calibri"/>
        <family val="1"/>
      </rPr>
      <t>Tarifa Inicial fixada no Edital</t>
    </r>
  </si>
  <si>
    <t>Porcentagem Repasse</t>
  </si>
  <si>
    <t>Referência anual é o ano de 2024, para a estimativa dos preços dos insumos e base de cálculo. Valores estão baseados nos dados e informações do Projeto Básico.</t>
  </si>
  <si>
    <t>Previsão de investimentos em equipamentos, dispositivos eletrônicos, sistemas, aplicativos e infraestrutura operacional.</t>
  </si>
  <si>
    <r>
      <rPr>
        <sz val="7"/>
        <rFont val="Calibri"/>
        <family val="1"/>
      </rPr>
      <t xml:space="preserve">1 - </t>
    </r>
    <r>
      <rPr>
        <b/>
        <sz val="7"/>
        <rFont val="Calibri"/>
        <family val="1"/>
      </rPr>
      <t xml:space="preserve">Para 1 (uma) hora/vaga de ocupação será de, no máximo, R$ 2,50 (dois reais e cinquenta centavos), </t>
    </r>
    <r>
      <rPr>
        <sz val="7"/>
        <rFont val="Calibri"/>
        <family val="1"/>
      </rPr>
      <t>para veículos automotores de passageiros do tipo automóveis, caminhonetes e caminhonetas e similares e veículos de carga com capacidade de até 1 (uma) tonelada;
2 - Para 1 (uma) hora/vaga de ocupação será de, no máximo, R$ 1,50 (um real e cinquenta centavos), para veículos duas rodas</t>
    </r>
  </si>
  <si>
    <r>
      <rPr>
        <i/>
        <sz val="5.5"/>
        <color rgb="FFFF0000"/>
        <rFont val="Calibri"/>
        <family val="1"/>
      </rPr>
      <t>(*) Quantidade de colaboradores que utilizam Uniforme e EPI.</t>
    </r>
  </si>
  <si>
    <t>Valor Base</t>
  </si>
  <si>
    <t>Descrição do Item</t>
  </si>
  <si>
    <t>Unidade</t>
  </si>
  <si>
    <t>Quantidade</t>
  </si>
  <si>
    <t>Referência</t>
  </si>
  <si>
    <t>Pessoal Operacional</t>
  </si>
  <si>
    <t>A.</t>
  </si>
  <si>
    <t>a.</t>
  </si>
  <si>
    <t>Supervisor</t>
  </si>
  <si>
    <t>colab.</t>
  </si>
  <si>
    <t>R$/colab.mês</t>
  </si>
  <si>
    <t>Normativo da categoria</t>
  </si>
  <si>
    <t>b.</t>
  </si>
  <si>
    <t>Monitor</t>
  </si>
  <si>
    <t>Pessoal Administrativo</t>
  </si>
  <si>
    <t>Planilha 2 - Preços dos Insumos Básicos</t>
  </si>
  <si>
    <t>Diretoria</t>
  </si>
  <si>
    <t>Preço de mercado</t>
  </si>
  <si>
    <t>c.</t>
  </si>
  <si>
    <t>d.</t>
  </si>
  <si>
    <t>e.</t>
  </si>
  <si>
    <t>f.</t>
  </si>
  <si>
    <t>g.</t>
  </si>
  <si>
    <t>Técnico em TI</t>
  </si>
  <si>
    <t>Técnico em Manutenção</t>
  </si>
  <si>
    <t>Serviços Gerais</t>
  </si>
  <si>
    <t>Pessoal de Manutenção</t>
  </si>
  <si>
    <t>Mão de Obra de Pessoal</t>
  </si>
  <si>
    <t>Time Operacional</t>
  </si>
  <si>
    <t>Time Administrativo</t>
  </si>
  <si>
    <t>Time de Manutenção</t>
  </si>
  <si>
    <t>B.</t>
  </si>
  <si>
    <t>Auxílio Alimentação</t>
  </si>
  <si>
    <t>Vale Transporte</t>
  </si>
  <si>
    <t>Tarifa de Transporte Público</t>
  </si>
  <si>
    <t>Assistência Médica e Hospitalar</t>
  </si>
  <si>
    <t>Seguro de Vida, Invalidez e Funeral</t>
  </si>
  <si>
    <t>C.</t>
  </si>
  <si>
    <t>Uniforme e EPI:</t>
  </si>
  <si>
    <t>Quantidade Anual</t>
  </si>
  <si>
    <t>Uniforme</t>
  </si>
  <si>
    <t>Calça</t>
  </si>
  <si>
    <t>pç.</t>
  </si>
  <si>
    <t>Camisa</t>
  </si>
  <si>
    <t>Par de Sapatos</t>
  </si>
  <si>
    <t>Colete</t>
  </si>
  <si>
    <t>Bota</t>
  </si>
  <si>
    <t>Capa de Chuva</t>
  </si>
  <si>
    <t>Boné</t>
  </si>
  <si>
    <t>h.</t>
  </si>
  <si>
    <t>Jaqueta</t>
  </si>
  <si>
    <t>EPI</t>
  </si>
  <si>
    <t>Protetor Solar FPS 30 (120ml)</t>
  </si>
  <si>
    <t>Benefícios Sociais</t>
  </si>
  <si>
    <t>R$/colab/mês</t>
  </si>
  <si>
    <r>
      <rPr>
        <b/>
        <sz val="9"/>
        <rFont val="Calibri"/>
        <family val="2"/>
      </rPr>
      <t>Colaboradores</t>
    </r>
    <r>
      <rPr>
        <b/>
        <i/>
        <vertAlign val="superscript"/>
        <sz val="9"/>
        <color rgb="FFFF0000"/>
        <rFont val="Calibri"/>
        <family val="2"/>
      </rPr>
      <t>(*)</t>
    </r>
  </si>
  <si>
    <t>Recpcionista</t>
  </si>
  <si>
    <t>Assistente Administrativo</t>
  </si>
  <si>
    <t>Gerente Administrativo</t>
  </si>
  <si>
    <t>Outras Despesas</t>
  </si>
  <si>
    <t>D.</t>
  </si>
  <si>
    <t>Administrativas</t>
  </si>
  <si>
    <t>i.</t>
  </si>
  <si>
    <t>k.</t>
  </si>
  <si>
    <t>R$/mês</t>
  </si>
  <si>
    <t>Aluguel de Instalações, Venda e Comercial</t>
  </si>
  <si>
    <t>Internet (P.O.S - Chip)</t>
  </si>
  <si>
    <t>Energia Elétrica</t>
  </si>
  <si>
    <t>Água e Esgoto</t>
  </si>
  <si>
    <t>Propaganda e Publicidade</t>
  </si>
  <si>
    <t>Seguro Patrimonial</t>
  </si>
  <si>
    <t>Material de Limpeza e Conservação</t>
  </si>
  <si>
    <t>Outras despesas</t>
  </si>
  <si>
    <t>Preço</t>
  </si>
  <si>
    <t>Serviço de Terceiro</t>
  </si>
  <si>
    <t>Honorários Advocatícios</t>
  </si>
  <si>
    <t>Honorários Contábeis</t>
  </si>
  <si>
    <t>Mão-de-obra especializada</t>
  </si>
  <si>
    <t>Exames médico - Admissional e Dimensional</t>
  </si>
  <si>
    <t>Laudo de segurança do trabalho</t>
  </si>
  <si>
    <t>Vigilância Patrimonial</t>
  </si>
  <si>
    <t>Operacionais</t>
  </si>
  <si>
    <t>Manutenção de Equipamentos e Hardware</t>
  </si>
  <si>
    <t>Manutenção Software</t>
  </si>
  <si>
    <t>Manutenção Infraestrutura de TI</t>
  </si>
  <si>
    <t>Manutenção da Central de Controle Operacional - CCO</t>
  </si>
  <si>
    <t>Manutenção e Reposição de Sinalização Vertical</t>
  </si>
  <si>
    <t>Hospedagem - Armazenamento na Nuvem</t>
  </si>
  <si>
    <t>Bobina - P.O.S.</t>
  </si>
  <si>
    <t>Manutenção do Sistemas e Data Center</t>
  </si>
  <si>
    <t>Manutenção e Reposição de Sinalização Horizontal</t>
  </si>
  <si>
    <r>
      <rPr>
        <sz val="8"/>
        <rFont val="Calibri"/>
        <family val="2"/>
      </rPr>
      <t xml:space="preserve">Material de Expediente </t>
    </r>
    <r>
      <rPr>
        <i/>
        <sz val="8"/>
        <rFont val="Calibri"/>
        <family val="2"/>
      </rPr>
      <t>(bobina, etc.)</t>
    </r>
  </si>
  <si>
    <t>c</t>
  </si>
  <si>
    <t>e</t>
  </si>
  <si>
    <t>f</t>
  </si>
  <si>
    <t>g</t>
  </si>
  <si>
    <r>
      <rPr>
        <i/>
        <sz val="8"/>
        <rFont val="Calibri"/>
        <family val="1"/>
      </rPr>
      <t>a.</t>
    </r>
  </si>
  <si>
    <r>
      <rPr>
        <i/>
        <sz val="8"/>
        <rFont val="Calibri"/>
        <family val="1"/>
      </rPr>
      <t>b.</t>
    </r>
  </si>
  <si>
    <r>
      <rPr>
        <i/>
        <sz val="8"/>
        <rFont val="Calibri"/>
        <family val="1"/>
      </rPr>
      <t>Preço de mercado</t>
    </r>
  </si>
  <si>
    <r>
      <rPr>
        <sz val="8"/>
        <rFont val="Calibri"/>
        <family val="1"/>
      </rPr>
      <t>P.O.S. Móvel</t>
    </r>
  </si>
  <si>
    <r>
      <rPr>
        <sz val="8"/>
        <rFont val="Calibri"/>
        <family val="1"/>
      </rPr>
      <t xml:space="preserve">Nobreak </t>
    </r>
    <r>
      <rPr>
        <i/>
        <sz val="8"/>
        <rFont val="Calibri"/>
        <family val="1"/>
      </rPr>
      <t>(1500VA)</t>
    </r>
  </si>
  <si>
    <r>
      <rPr>
        <sz val="8"/>
        <rFont val="Calibri"/>
        <family val="1"/>
      </rPr>
      <t>Impressora Multifuncional</t>
    </r>
  </si>
  <si>
    <r>
      <rPr>
        <sz val="8"/>
        <rFont val="Calibri"/>
        <family val="1"/>
      </rPr>
      <t>Licença de Softwares</t>
    </r>
  </si>
  <si>
    <r>
      <rPr>
        <sz val="8"/>
        <rFont val="Calibri"/>
        <family val="1"/>
      </rPr>
      <t>Central Telefônica com gravação</t>
    </r>
  </si>
  <si>
    <r>
      <rPr>
        <sz val="8"/>
        <rFont val="Calibri"/>
        <family val="1"/>
      </rPr>
      <t xml:space="preserve">Sinalização Vertical </t>
    </r>
    <r>
      <rPr>
        <i/>
        <sz val="8"/>
        <rFont val="Calibri"/>
        <family val="1"/>
      </rPr>
      <t>(placa)</t>
    </r>
  </si>
  <si>
    <r>
      <rPr>
        <i/>
        <sz val="8"/>
        <rFont val="Calibri"/>
        <family val="1"/>
      </rPr>
      <t>c.</t>
    </r>
  </si>
  <si>
    <r>
      <rPr>
        <sz val="8"/>
        <rFont val="Calibri"/>
        <family val="1"/>
      </rPr>
      <t>Posto de Venda</t>
    </r>
  </si>
  <si>
    <r>
      <rPr>
        <sz val="8"/>
        <rFont val="Calibri"/>
        <family val="1"/>
      </rPr>
      <t xml:space="preserve">Panfleto </t>
    </r>
    <r>
      <rPr>
        <i/>
        <sz val="8"/>
        <rFont val="Calibri"/>
        <family val="1"/>
      </rPr>
      <t>(manual de instruções)</t>
    </r>
  </si>
  <si>
    <r>
      <rPr>
        <sz val="8"/>
        <rFont val="Calibri"/>
        <family val="1"/>
      </rPr>
      <t>Outdoor</t>
    </r>
  </si>
  <si>
    <r>
      <rPr>
        <sz val="8"/>
        <rFont val="Calibri"/>
        <family val="1"/>
      </rPr>
      <t>Rádio, Televisão e Mídias Digitais</t>
    </r>
  </si>
  <si>
    <r>
      <rPr>
        <sz val="8"/>
        <rFont val="Calibri"/>
        <family val="1"/>
      </rPr>
      <t>Desenvolvimento de Aplicativos - App</t>
    </r>
  </si>
  <si>
    <r>
      <rPr>
        <sz val="8"/>
        <rFont val="Calibri"/>
        <family val="1"/>
      </rPr>
      <t>Desenvolvimento de Website</t>
    </r>
  </si>
  <si>
    <t>Investimento</t>
  </si>
  <si>
    <t>Preço Unitário</t>
  </si>
  <si>
    <t>Computador</t>
  </si>
  <si>
    <t>Planilha 3 - Investimentos Iniciais</t>
  </si>
  <si>
    <t>b</t>
  </si>
  <si>
    <r>
      <rPr>
        <b/>
        <sz val="9"/>
        <rFont val="Calibri"/>
        <family val="1"/>
      </rPr>
      <t>Equipamentos Eletrônicos</t>
    </r>
  </si>
  <si>
    <r>
      <rPr>
        <b/>
        <sz val="9"/>
        <rFont val="Calibri"/>
        <family val="1"/>
      </rPr>
      <t>Total</t>
    </r>
  </si>
  <si>
    <t>Servidor Local</t>
  </si>
  <si>
    <t>Móveis e Eletrodomésticos</t>
  </si>
  <si>
    <t xml:space="preserve">Mesas de escritório </t>
  </si>
  <si>
    <t>j.</t>
  </si>
  <si>
    <t>Cadeira Escritório</t>
  </si>
  <si>
    <t>Cadeira Simples</t>
  </si>
  <si>
    <t>Mesa simples para 4 pessoas</t>
  </si>
  <si>
    <t>Quadro branco</t>
  </si>
  <si>
    <t>Rouperio de aço 20 portas</t>
  </si>
  <si>
    <t xml:space="preserve">Geladeira </t>
  </si>
  <si>
    <t>Microondas</t>
  </si>
  <si>
    <t>Cafeteira</t>
  </si>
  <si>
    <t>Balcão com pia</t>
  </si>
  <si>
    <t>Armario</t>
  </si>
  <si>
    <t>Total</t>
  </si>
  <si>
    <r>
      <rPr>
        <b/>
        <sz val="9"/>
        <rFont val="Calibri"/>
        <family val="1"/>
      </rPr>
      <t>Sinalização</t>
    </r>
  </si>
  <si>
    <r>
      <rPr>
        <b/>
        <sz val="9"/>
        <rFont val="Calibri"/>
        <family val="1"/>
      </rPr>
      <t>Campanha de Divulgação de Utilização do Sistema</t>
    </r>
  </si>
  <si>
    <t>d</t>
  </si>
  <si>
    <r>
      <rPr>
        <b/>
        <sz val="9"/>
        <rFont val="Calibri"/>
        <family val="1"/>
      </rPr>
      <t>Facilidades e Conveniências:</t>
    </r>
  </si>
  <si>
    <r>
      <rPr>
        <b/>
        <sz val="10"/>
        <rFont val="Calibri"/>
        <family val="1"/>
      </rPr>
      <t>Total dos Investimentos</t>
    </r>
  </si>
  <si>
    <r>
      <rPr>
        <sz val="8"/>
        <rFont val="Calibri"/>
        <family val="1"/>
      </rPr>
      <t>Supervisor</t>
    </r>
  </si>
  <si>
    <r>
      <rPr>
        <sz val="8"/>
        <rFont val="Calibri"/>
        <family val="1"/>
      </rPr>
      <t>Monitor</t>
    </r>
  </si>
  <si>
    <r>
      <rPr>
        <sz val="8"/>
        <rFont val="Calibri"/>
        <family val="1"/>
      </rPr>
      <t>Técnico em TI</t>
    </r>
  </si>
  <si>
    <r>
      <rPr>
        <sz val="8"/>
        <rFont val="Calibri"/>
        <family val="1"/>
      </rPr>
      <t>Técnico em Manutenção</t>
    </r>
  </si>
  <si>
    <r>
      <rPr>
        <sz val="8"/>
        <rFont val="Calibri"/>
        <family val="1"/>
      </rPr>
      <t>Serviços Gerais</t>
    </r>
  </si>
  <si>
    <t>Encargo Social</t>
  </si>
  <si>
    <t>Salário Base</t>
  </si>
  <si>
    <t>Planilha 4 - Composição da Despesa com Pessoal</t>
  </si>
  <si>
    <r>
      <rPr>
        <b/>
        <sz val="9"/>
        <rFont val="Calibri"/>
        <family val="1"/>
      </rPr>
      <t>Pessoal Operacional</t>
    </r>
  </si>
  <si>
    <r>
      <rPr>
        <b/>
        <sz val="9"/>
        <rFont val="Calibri"/>
        <family val="1"/>
      </rPr>
      <t>Pessoal de Manutenção</t>
    </r>
  </si>
  <si>
    <t>Despesa Mensal</t>
  </si>
  <si>
    <r>
      <rPr>
        <b/>
        <sz val="9"/>
        <rFont val="Calibri"/>
        <family val="1"/>
      </rPr>
      <t>Despesa Mensal</t>
    </r>
  </si>
  <si>
    <r>
      <rPr>
        <b/>
        <sz val="10"/>
        <rFont val="Calibri"/>
        <family val="1"/>
      </rPr>
      <t>Despesa Mensal</t>
    </r>
  </si>
  <si>
    <t>Planilha 5 - Composição da Despesa com Benefício Social</t>
  </si>
  <si>
    <t>-</t>
  </si>
  <si>
    <t>Quantidade Mensal (por colaborador)</t>
  </si>
  <si>
    <t>Total das Despesas Beneficio Social</t>
  </si>
  <si>
    <t>Planilha 6 - Composição da Despesa Geral</t>
  </si>
  <si>
    <t>Subtotal</t>
  </si>
  <si>
    <t xml:space="preserve">Ocorrencia Anual </t>
  </si>
  <si>
    <t>Total das Despesas Mensal com Pessoal</t>
  </si>
  <si>
    <t>Total das Despesas Anual com Pessoal</t>
  </si>
  <si>
    <t>Total das Despesas Anual com Benefício Social</t>
  </si>
  <si>
    <t>Telefone Fixo + Internet</t>
  </si>
  <si>
    <t>Total Mensal dos Serviços de Terceiro</t>
  </si>
  <si>
    <t>Total Anual dos Serviços de Terceiro</t>
  </si>
  <si>
    <t>Total Mensal das Despesas Administrativas</t>
  </si>
  <si>
    <t>Total Anual das Despesas Administrativas</t>
  </si>
  <si>
    <t>Total Mensal das Despesas Operacionais</t>
  </si>
  <si>
    <t>Total Anual das Despesas Operacionais</t>
  </si>
  <si>
    <t>Total Mensal das Despesas Gerais</t>
  </si>
  <si>
    <t>Total Anual das Despesas Gerais</t>
  </si>
  <si>
    <t>Veículo de Apoio Operacional</t>
  </si>
  <si>
    <t>Veículo 4 rodas flex 1.0</t>
  </si>
  <si>
    <t>Informação Técnica do Veículo</t>
  </si>
  <si>
    <t>Caraterísticas</t>
  </si>
  <si>
    <t>veíc.</t>
  </si>
  <si>
    <t>Fabricante</t>
  </si>
  <si>
    <t>Certificado de Registo de Veículo - CRV</t>
  </si>
  <si>
    <t>Marca</t>
  </si>
  <si>
    <t>Modelo</t>
  </si>
  <si>
    <t>Ano de Fabricação</t>
  </si>
  <si>
    <t>Ano do Modelo</t>
  </si>
  <si>
    <t>Cilindrada</t>
  </si>
  <si>
    <t>cm³</t>
  </si>
  <si>
    <t>Potência do Motor</t>
  </si>
  <si>
    <t>CV</t>
  </si>
  <si>
    <t>Tipo de Combustível</t>
  </si>
  <si>
    <t>flex</t>
  </si>
  <si>
    <t>Bitola do Pneu</t>
  </si>
  <si>
    <t>Informação Financeira do Veículo</t>
  </si>
  <si>
    <t>Resultado</t>
  </si>
  <si>
    <t>Preço do Veículo Novo com rodagem</t>
  </si>
  <si>
    <t>R$/veíc.</t>
  </si>
  <si>
    <t>Preço do Veículo Novo sem rodagem</t>
  </si>
  <si>
    <t>Preço Combustível</t>
  </si>
  <si>
    <t>R$/litro</t>
  </si>
  <si>
    <t>Cotação do fornecedor</t>
  </si>
  <si>
    <t>Preço do Pneu</t>
  </si>
  <si>
    <t>R$/unid.</t>
  </si>
  <si>
    <t>R$/serv.</t>
  </si>
  <si>
    <t>Preço da Lavação e Higienização</t>
  </si>
  <si>
    <t>Preço do Óleo do Cárter</t>
  </si>
  <si>
    <t>Emplacamento, Licenciamento, Taxas e IPVA</t>
  </si>
  <si>
    <t>R$/veíc.ano</t>
  </si>
  <si>
    <t>Detran</t>
  </si>
  <si>
    <t>Informação Operacional do Veículo</t>
  </si>
  <si>
    <t>Quilometragem Média Mensal</t>
  </si>
  <si>
    <t>km/mês</t>
  </si>
  <si>
    <t>Desenvolvimento do serviço</t>
  </si>
  <si>
    <t>Custo Fixo</t>
  </si>
  <si>
    <t>Descrição</t>
  </si>
  <si>
    <t>Método</t>
  </si>
  <si>
    <t>Coeficiente</t>
  </si>
  <si>
    <t>Und.</t>
  </si>
  <si>
    <r>
      <rPr>
        <b/>
        <sz val="9"/>
        <rFont val="Calibri"/>
        <family val="2"/>
      </rPr>
      <t xml:space="preserve">Preço
</t>
    </r>
    <r>
      <rPr>
        <i/>
        <sz val="9"/>
        <rFont val="Calibri"/>
        <family val="2"/>
      </rPr>
      <t>(R$/veic.mês)</t>
    </r>
  </si>
  <si>
    <r>
      <rPr>
        <b/>
        <sz val="9"/>
        <rFont val="Calibri"/>
        <family val="2"/>
      </rPr>
      <t xml:space="preserve">Preço
</t>
    </r>
    <r>
      <rPr>
        <i/>
        <sz val="9"/>
        <rFont val="Calibri"/>
        <family val="2"/>
      </rPr>
      <t>(R$/km)</t>
    </r>
  </si>
  <si>
    <t>Anual</t>
  </si>
  <si>
    <t>Mensal</t>
  </si>
  <si>
    <t>Custo por Quilômetro</t>
  </si>
  <si>
    <r>
      <rPr>
        <b/>
        <sz val="8"/>
        <rFont val="Calibri"/>
        <family val="2"/>
      </rPr>
      <t xml:space="preserve">Preço
</t>
    </r>
    <r>
      <rPr>
        <i/>
        <sz val="8"/>
        <rFont val="Calibri"/>
        <family val="2"/>
      </rPr>
      <t>(R$)</t>
    </r>
  </si>
  <si>
    <r>
      <rPr>
        <b/>
        <sz val="8"/>
        <rFont val="Calibri"/>
        <family val="2"/>
      </rPr>
      <t xml:space="preserve">Preço
</t>
    </r>
    <r>
      <rPr>
        <i/>
        <sz val="8"/>
        <rFont val="Calibri"/>
        <family val="2"/>
      </rPr>
      <t>(R$/veic.mês)</t>
    </r>
  </si>
  <si>
    <r>
      <rPr>
        <b/>
        <sz val="8"/>
        <rFont val="Calibri"/>
        <family val="2"/>
      </rPr>
      <t xml:space="preserve">Preço
</t>
    </r>
    <r>
      <rPr>
        <i/>
        <sz val="8"/>
        <rFont val="Calibri"/>
        <family val="2"/>
      </rPr>
      <t>(R$/km)</t>
    </r>
  </si>
  <si>
    <t>aa</t>
  </si>
  <si>
    <t>165/70 R14</t>
  </si>
  <si>
    <t>Seguro</t>
  </si>
  <si>
    <t>Rateio Mês</t>
  </si>
  <si>
    <t>Custos Fixos Anual</t>
  </si>
  <si>
    <t>Planilha 7 - Composição das Despesas Fixas com Veículo de Apoio Operacional</t>
  </si>
  <si>
    <t>Custo Variável</t>
  </si>
  <si>
    <t>Capacidade</t>
  </si>
  <si>
    <r>
      <rPr>
        <b/>
        <sz val="8"/>
        <rFont val="Calibri"/>
        <family val="2"/>
      </rPr>
      <t xml:space="preserve">Fator Consumo
</t>
    </r>
    <r>
      <rPr>
        <i/>
        <sz val="8"/>
        <rFont val="Calibri"/>
        <family val="2"/>
      </rPr>
      <t>(km)</t>
    </r>
  </si>
  <si>
    <r>
      <rPr>
        <b/>
        <sz val="8"/>
        <rFont val="Calibri"/>
        <family val="2"/>
      </rPr>
      <t xml:space="preserve">Preço Unitário
</t>
    </r>
    <r>
      <rPr>
        <i/>
        <sz val="8"/>
        <rFont val="Calibri"/>
        <family val="2"/>
      </rPr>
      <t>(R$)</t>
    </r>
  </si>
  <si>
    <t>2.1.</t>
  </si>
  <si>
    <t>Combustível</t>
  </si>
  <si>
    <t>Capacidade do Tanque de Combustível</t>
  </si>
  <si>
    <t>Reservatório</t>
  </si>
  <si>
    <t>2.2.</t>
  </si>
  <si>
    <t>Lubrificante</t>
  </si>
  <si>
    <t>Óleo do Cárter</t>
  </si>
  <si>
    <t>2.3.</t>
  </si>
  <si>
    <t>2.4.</t>
  </si>
  <si>
    <t>Rodagem</t>
  </si>
  <si>
    <t>Pneus</t>
  </si>
  <si>
    <t>peça</t>
  </si>
  <si>
    <t>2.5.</t>
  </si>
  <si>
    <t>Peças e Acessórios</t>
  </si>
  <si>
    <r>
      <t xml:space="preserve">VB/a.a </t>
    </r>
    <r>
      <rPr>
        <i/>
        <sz val="8"/>
        <color rgb="FFFF0000"/>
        <rFont val="Calibri"/>
        <family val="2"/>
      </rPr>
      <t>*</t>
    </r>
  </si>
  <si>
    <t>2.6.</t>
  </si>
  <si>
    <t>Lavação e Higienização</t>
  </si>
  <si>
    <r>
      <rPr>
        <sz val="8"/>
        <rFont val="Calibri"/>
        <family val="2"/>
      </rPr>
      <t>Lavação e Higienização</t>
    </r>
    <r>
      <rPr>
        <i/>
        <sz val="8"/>
        <color rgb="FFFF0000"/>
        <rFont val="Calibri"/>
        <family val="2"/>
      </rPr>
      <t>**</t>
    </r>
  </si>
  <si>
    <t>Serviço</t>
  </si>
  <si>
    <t>Planilha 8 - Composição das Despesas Variaveis com Veículo de Apoio Operacional</t>
  </si>
  <si>
    <t xml:space="preserve">Custo Variável Mensal </t>
  </si>
  <si>
    <t>Custo Variavel Anual</t>
  </si>
  <si>
    <r>
      <rPr>
        <i/>
        <sz val="8"/>
        <color rgb="FFFF0000"/>
        <rFont val="Calibri"/>
        <family val="2"/>
      </rPr>
      <t>* Valor Base - percentual em relação ao valor de veículo.</t>
    </r>
  </si>
  <si>
    <r>
      <rPr>
        <i/>
        <sz val="8"/>
        <color rgb="FFFF0000"/>
        <rFont val="Calibri"/>
        <family val="2"/>
      </rPr>
      <t>** Mínimo de duas lavagens por mês.</t>
    </r>
  </si>
  <si>
    <t>Depreciação do Capital</t>
  </si>
  <si>
    <r>
      <rPr>
        <b/>
        <sz val="8"/>
        <rFont val="Calibri"/>
        <family val="2"/>
      </rPr>
      <t xml:space="preserve">Valor Residual
</t>
    </r>
    <r>
      <rPr>
        <i/>
        <sz val="8"/>
        <rFont val="Calibri"/>
        <family val="2"/>
      </rPr>
      <t>(%)</t>
    </r>
  </si>
  <si>
    <t>Depreciação de Veículo</t>
  </si>
  <si>
    <t>Linear</t>
  </si>
  <si>
    <t>Depreciação de Equipamentos Eletrônicos, Parquímetros, TI e Comunicação</t>
  </si>
  <si>
    <t>Depreciação de Sinalização Vertical</t>
  </si>
  <si>
    <t>Depreciação de Sinalização Horizontal</t>
  </si>
  <si>
    <t>Frota Vinculada e Quilometragem Média Mensal</t>
  </si>
  <si>
    <t>Quilometragem</t>
  </si>
  <si>
    <t>Veículo - Utilitário</t>
  </si>
  <si>
    <t>1.2.</t>
  </si>
  <si>
    <t>Custo Mensal</t>
  </si>
  <si>
    <t>Ocorrência Anual</t>
  </si>
  <si>
    <r>
      <rPr>
        <b/>
        <sz val="8"/>
        <rFont val="Calibri"/>
        <family val="2"/>
      </rPr>
      <t xml:space="preserve">Vida Útil </t>
    </r>
    <r>
      <rPr>
        <i/>
        <sz val="8"/>
        <rFont val="Calibri"/>
        <family val="2"/>
      </rPr>
      <t>(anos)</t>
    </r>
  </si>
  <si>
    <t>Depreciação de Equipamentos Eletrônicos</t>
  </si>
  <si>
    <t>Veículo  de Apoio Operacional</t>
  </si>
  <si>
    <t>Premissas Básicas</t>
  </si>
  <si>
    <r>
      <rPr>
        <b/>
        <sz val="9"/>
        <rFont val="Calibri"/>
        <family val="2"/>
      </rPr>
      <t xml:space="preserve">Preço
</t>
    </r>
    <r>
      <rPr>
        <i/>
        <sz val="9"/>
        <rFont val="Calibri"/>
        <family val="2"/>
      </rPr>
      <t>(R$/veíc.)</t>
    </r>
  </si>
  <si>
    <t>Memória de Cálculo</t>
  </si>
  <si>
    <t>a</t>
  </si>
  <si>
    <r>
      <rPr>
        <b/>
        <sz val="9"/>
        <rFont val="Calibri"/>
        <family val="2"/>
      </rPr>
      <t xml:space="preserve">Investimento
</t>
    </r>
    <r>
      <rPr>
        <i/>
        <sz val="9"/>
        <rFont val="Calibri"/>
        <family val="2"/>
      </rPr>
      <t>(R$)</t>
    </r>
  </si>
  <si>
    <r>
      <rPr>
        <b/>
        <sz val="9"/>
        <rFont val="Calibri"/>
        <family val="2"/>
      </rPr>
      <t xml:space="preserve">Depreciação
</t>
    </r>
    <r>
      <rPr>
        <i/>
        <sz val="9"/>
        <rFont val="Calibri"/>
        <family val="2"/>
      </rPr>
      <t>(R$/mês)</t>
    </r>
  </si>
  <si>
    <t>Depreciação de Sinalização</t>
  </si>
  <si>
    <t>Sinalização Vertical</t>
  </si>
  <si>
    <t>Sinalização Horizontal</t>
  </si>
  <si>
    <r>
      <t xml:space="preserve">Sinalização Horizontal </t>
    </r>
    <r>
      <rPr>
        <i/>
        <sz val="8"/>
        <rFont val="Calibri"/>
        <family val="1"/>
      </rPr>
      <t>(m² )</t>
    </r>
  </si>
  <si>
    <t>Deprecisação Mensal</t>
  </si>
  <si>
    <t>Deprecisação Anual</t>
  </si>
  <si>
    <t>Deprecisação Total Mensal</t>
  </si>
  <si>
    <t>Deprecisação Total Anual</t>
  </si>
  <si>
    <t>ENCARGOS SOBRE A REMUNERAÇÃO NORMAL DIURNA DO EMPREGADO</t>
  </si>
  <si>
    <t>Cálculo do Número de Dias Úteis no Ano</t>
  </si>
  <si>
    <t>GERAL</t>
  </si>
  <si>
    <t>Dias</t>
  </si>
  <si>
    <t>Ref.</t>
  </si>
  <si>
    <t>[A]</t>
  </si>
  <si>
    <t>Mensalista</t>
  </si>
  <si>
    <t>Domingo</t>
  </si>
  <si>
    <t>Encargos (1)</t>
  </si>
  <si>
    <t>%</t>
  </si>
  <si>
    <t>Feriados</t>
  </si>
  <si>
    <t>INSS</t>
  </si>
  <si>
    <t>Dias Úteis (*)</t>
  </si>
  <si>
    <t>SESI / SESC / SEST</t>
  </si>
  <si>
    <t>(*) Sem considerar o período aquisitivo de férias.</t>
  </si>
  <si>
    <t>SENAI / SENAC / SENAT</t>
  </si>
  <si>
    <t>INCRA</t>
  </si>
  <si>
    <t>Cálculo do Número de Dias Produtivos no Ano</t>
  </si>
  <si>
    <t>SEBRAE</t>
  </si>
  <si>
    <t>SALÁRIO EDUCAÇÃO</t>
  </si>
  <si>
    <t>SAT (Seguro Acidente Trabalho)</t>
  </si>
  <si>
    <t>FGTS</t>
  </si>
  <si>
    <t>TOTAL</t>
  </si>
  <si>
    <t>Férias</t>
  </si>
  <si>
    <t>Dias Produtivos/Úteis</t>
  </si>
  <si>
    <t>[B]</t>
  </si>
  <si>
    <t>Parâmetros de Cálculo</t>
  </si>
  <si>
    <t>Parcela agregadas (1) e (3)</t>
  </si>
  <si>
    <t>Domingo em Férias</t>
  </si>
  <si>
    <t>Domingos DSR</t>
  </si>
  <si>
    <t>Férias (1 mês : 11 meses)</t>
  </si>
  <si>
    <t>Adicional de Férias</t>
  </si>
  <si>
    <t>Adicional de 1/3 Férias (9,09% : 3)</t>
  </si>
  <si>
    <t>Meses Produtivos</t>
  </si>
  <si>
    <t>mês</t>
  </si>
  <si>
    <t>no ano</t>
  </si>
  <si>
    <t>Feriados (11 dias por ano : 276 dias/ano) (**)</t>
  </si>
  <si>
    <t>Mês de Férias</t>
  </si>
  <si>
    <t>ao ano</t>
  </si>
  <si>
    <t>Auxílio Doença [(15 dias : 332 dias/ano)xPercentual de Participação</t>
  </si>
  <si>
    <t>Auxílio Doença</t>
  </si>
  <si>
    <t>Décimo Terceiro Salário (1 mês : 12 meses)</t>
  </si>
  <si>
    <t>Jornada Semanal</t>
  </si>
  <si>
    <t>Licença Remunerada (4 dias : 4 anos de 276 dias/ano)</t>
  </si>
  <si>
    <t>Jornada Diária</t>
  </si>
  <si>
    <t>Licença Paternidade (5 dias : 4 anos de 276 dias/ano)</t>
  </si>
  <si>
    <t>Horas diária não trabalhada</t>
  </si>
  <si>
    <t>hora</t>
  </si>
  <si>
    <t>Licença Maternidade (120 dias : 4 anos de 276 dias/ano 3%)</t>
  </si>
  <si>
    <t>Aviso Prévio Trabalhando</t>
  </si>
  <si>
    <t>Aviso Prévio Não Trabalhando</t>
  </si>
  <si>
    <t>Horista</t>
  </si>
  <si>
    <t>(365 dias do ano – 52 domingos – 26 dias de férias  – 11 dias feriados: 276 dias úteis ano)</t>
  </si>
  <si>
    <t>Turn Over</t>
  </si>
  <si>
    <t>[C]</t>
  </si>
  <si>
    <t>Licença Paternidade</t>
  </si>
  <si>
    <t>Benefícios e encargos (1)</t>
  </si>
  <si>
    <t>Licenças Remuneradas</t>
  </si>
  <si>
    <t>Dispensa Sem Justa Causa</t>
  </si>
  <si>
    <t>Aviso Prévio Não Trabalhando (25 dias : 276 dias/ano x 98%)</t>
  </si>
  <si>
    <t>Aviso Prévio indenizado (Trabalhando e Não Trabalhando)</t>
  </si>
  <si>
    <t>Multa FGTS</t>
  </si>
  <si>
    <r>
      <rPr>
        <sz val="8"/>
        <rFont val="Calibri"/>
        <family val="2"/>
      </rPr>
      <t>Multa 50% do FGTS nas rescisões (50% x 8,5% FGTS x 95% dos
empregados demitidos x (1+ total do grupo B)</t>
    </r>
  </si>
  <si>
    <t>Auxilio Doença</t>
  </si>
  <si>
    <t>Lei 6.708  art 9 ( 8,0% do Aviso Prévio Indenizado)</t>
  </si>
  <si>
    <t>Reversão de Reajuste Sindical</t>
  </si>
  <si>
    <t>Contribuição do Sindicato - Reversão de Reajuste Salarial</t>
  </si>
  <si>
    <t>Previsão de Reajuste (*)</t>
  </si>
  <si>
    <t>Seguro de Vida (parte do custo absorvido pela empresa)</t>
  </si>
  <si>
    <t>Licença Maternidade</t>
  </si>
  <si>
    <t>Alimentação (parte do custo absorvido pela empresa)</t>
  </si>
  <si>
    <t>Colaboradores do Sexo Femini</t>
  </si>
  <si>
    <t>Transporte (parte do custo absorvido pela empresa)</t>
  </si>
  <si>
    <t>(*) Para cálculo da Reversão de Reajuste Salarial</t>
  </si>
  <si>
    <t>Outros custos (parte absorvida pela empresa)</t>
  </si>
  <si>
    <t>[D]</t>
  </si>
  <si>
    <t>Incidências Cumulativas [A x B]</t>
  </si>
  <si>
    <t>Obrigações incidentes diretamente sobre a folha de pagamento</t>
  </si>
  <si>
    <t xml:space="preserve">DSR </t>
  </si>
  <si>
    <t>Benefícios e encargos que não incidem sobre os demais encargoS</t>
  </si>
  <si>
    <t>Parcelas agregadas a remuneração e pagas diretamente ao empregado</t>
  </si>
  <si>
    <t>Aviso Prévio Trabalhando (1% de 2h dia em 25 dias : 7,33h em 276 dias)</t>
  </si>
  <si>
    <t>TOTAL GERAL DOS ENCARGOS [A+B+C+D]</t>
  </si>
  <si>
    <t>Planilha 10 - Encargos Sociais</t>
  </si>
  <si>
    <t>Planilha 9 - Composição da Depreciação de Veículo, Máquina e Equipamento</t>
  </si>
  <si>
    <t>Equipamentos Eletrônicos, TI e Comunicação</t>
  </si>
  <si>
    <t>Despesa com Pessoal</t>
  </si>
  <si>
    <t>Despesa com Benefício Social, Uniforme e EPI</t>
  </si>
  <si>
    <t>1.</t>
  </si>
  <si>
    <t>2.</t>
  </si>
  <si>
    <t>3.</t>
  </si>
  <si>
    <t>3.1.</t>
  </si>
  <si>
    <t>3.2.</t>
  </si>
  <si>
    <t>3.3.</t>
  </si>
  <si>
    <t>4.</t>
  </si>
  <si>
    <t>5.</t>
  </si>
  <si>
    <t>6.</t>
  </si>
  <si>
    <t>Peso</t>
  </si>
  <si>
    <t>P1</t>
  </si>
  <si>
    <t>P2</t>
  </si>
  <si>
    <t>P3</t>
  </si>
  <si>
    <t>P4</t>
  </si>
  <si>
    <t>P5</t>
  </si>
  <si>
    <t>P6</t>
  </si>
  <si>
    <t>Despesas Gerais</t>
  </si>
  <si>
    <t>Despesa com Veículo</t>
  </si>
  <si>
    <t>Despesa com Depreciação de Capital</t>
  </si>
  <si>
    <t>R$/ano</t>
  </si>
  <si>
    <t>Despesa com Taxa de Arrecadação</t>
  </si>
  <si>
    <t>Cartão de Crédito</t>
  </si>
  <si>
    <t>Cartão de Débito</t>
  </si>
  <si>
    <t>Comissão de Posto de Venda - PDV</t>
  </si>
  <si>
    <t>Pix</t>
  </si>
  <si>
    <t>Boleto</t>
  </si>
  <si>
    <t>Grupo de Custos</t>
  </si>
  <si>
    <t>Descrição dos Itens</t>
  </si>
  <si>
    <t>Participação</t>
  </si>
  <si>
    <t>Participação da Despesa com Pessoal</t>
  </si>
  <si>
    <t>Participação da Despesa com Benefício Social, Uniforme e EPI</t>
  </si>
  <si>
    <t>Participação das Despesas Gerais</t>
  </si>
  <si>
    <t>Participação da Despesa com Veículo</t>
  </si>
  <si>
    <t>Participação da Despesa com Depreciação de Capital</t>
  </si>
  <si>
    <t>Ocorrência</t>
  </si>
  <si>
    <t>1.3.</t>
  </si>
  <si>
    <t>7.</t>
  </si>
  <si>
    <t>Planilha 13 - Orçamento do Custo do Serviço</t>
  </si>
  <si>
    <t>1.1.</t>
  </si>
  <si>
    <t>SubTotal 1.</t>
  </si>
  <si>
    <t>Parcial 2.1.</t>
  </si>
  <si>
    <t>Parcial 1.3.</t>
  </si>
  <si>
    <t>Parcial 1.2.</t>
  </si>
  <si>
    <t>Parcial 1.1.</t>
  </si>
  <si>
    <t>Parcial 2.2.</t>
  </si>
  <si>
    <t>Parcial 2.3.</t>
  </si>
  <si>
    <t>Parcial 2.4.</t>
  </si>
  <si>
    <t>Parcial 2.5.</t>
  </si>
  <si>
    <t>Parcial 2.6.</t>
  </si>
  <si>
    <t>SubTotal 2.</t>
  </si>
  <si>
    <t>Parcial 3.1.</t>
  </si>
  <si>
    <t>Parcial 3.2.</t>
  </si>
  <si>
    <t>Parcial 3.3.</t>
  </si>
  <si>
    <t>SubTotal 3.</t>
  </si>
  <si>
    <t>4.1.</t>
  </si>
  <si>
    <t>Parcial 4.1.</t>
  </si>
  <si>
    <t>SubTotal 4.</t>
  </si>
  <si>
    <t>Custos Fixos Mensal</t>
  </si>
  <si>
    <t>SubTotal 5.</t>
  </si>
  <si>
    <t>Custo Corrente</t>
  </si>
  <si>
    <t>Parcial 6.1.</t>
  </si>
  <si>
    <t>SubTotal 6.</t>
  </si>
  <si>
    <t>Total  dos Custos do Serviço</t>
  </si>
  <si>
    <t>SubTotal 7.</t>
  </si>
  <si>
    <t>Parcial 5</t>
  </si>
  <si>
    <t>Premissias Básicas</t>
  </si>
  <si>
    <t xml:space="preserve">Quantidade de vagas para veículos quatro rodas </t>
  </si>
  <si>
    <t>uni</t>
  </si>
  <si>
    <t xml:space="preserve">Quantidade de vagas para veículos duas rodas </t>
  </si>
  <si>
    <t xml:space="preserve">Tarifa veículos quatro rodas </t>
  </si>
  <si>
    <t xml:space="preserve">Tarifa veículos duas rodas </t>
  </si>
  <si>
    <t>Horas uteis exploraveis semanal</t>
  </si>
  <si>
    <t>Horas uteis exploraveis mensal</t>
  </si>
  <si>
    <t>Taxa de ocupação</t>
  </si>
  <si>
    <t xml:space="preserve">Taxa de Respeitatividade </t>
  </si>
  <si>
    <t>Taxa de respeito efetiva (h x i)</t>
  </si>
  <si>
    <t>R$/hora</t>
  </si>
  <si>
    <t>Horas uteis exploraveis diárias dias uteis</t>
  </si>
  <si>
    <t>Horas uteis exploraveis diárias sabádo</t>
  </si>
  <si>
    <t>Planilha 11 - Previsão de Faturamento</t>
  </si>
  <si>
    <t>Previsão de Faturamento Mensal Quatro Rodas</t>
  </si>
  <si>
    <t>Previsão de Faturamento Mensal Duas Rodas</t>
  </si>
  <si>
    <t>Previsão de Faturamento Mensal Total</t>
  </si>
  <si>
    <t>K.</t>
  </si>
  <si>
    <t>Planilha 12 - Modal de pagamento</t>
  </si>
  <si>
    <t>Moeda Nacional</t>
  </si>
  <si>
    <t>Taxa de Utilização</t>
  </si>
  <si>
    <t>Taxa Bancária</t>
  </si>
  <si>
    <t>Boleto Bancário</t>
  </si>
  <si>
    <t>Comissão p/ PDV</t>
  </si>
  <si>
    <t>Outorga ao Municipio</t>
  </si>
  <si>
    <t>P7</t>
  </si>
  <si>
    <t>Outorga</t>
  </si>
  <si>
    <t>Outorga Inicial</t>
  </si>
  <si>
    <t>Outorga inicial</t>
  </si>
  <si>
    <t>Estipulado via Edital</t>
  </si>
  <si>
    <t>Depreciação de Equipamentos Eletrônicos, TI e Comunicação</t>
  </si>
  <si>
    <t>Ano 1</t>
  </si>
  <si>
    <t>Ano 2</t>
  </si>
  <si>
    <r>
      <rPr>
        <b/>
        <sz val="8"/>
        <color rgb="FFFFFFFF"/>
        <rFont val="Calibri"/>
        <family val="2"/>
      </rPr>
      <t>A. Demonstrativo de Resultado Econômico - DRE</t>
    </r>
  </si>
  <si>
    <t>Período:</t>
  </si>
  <si>
    <t>mm/aa a mm/aa</t>
  </si>
  <si>
    <t>Projeção de Crescimento</t>
  </si>
  <si>
    <t>Taxa de Respeito</t>
  </si>
  <si>
    <t>Taxa de Ocupação Efetiva</t>
  </si>
  <si>
    <t>Número Anual de Vaga/Hora Equivalente</t>
  </si>
  <si>
    <t>Receita Bruta</t>
  </si>
  <si>
    <t>Tributos e Repasses sobre o Faturamento</t>
  </si>
  <si>
    <t>Imposto sobre Serviço de qualquer natureza - ISS</t>
  </si>
  <si>
    <t>Contribuição Social sobre o Faturamento - COFINS</t>
  </si>
  <si>
    <t>Programa de Integração Social - PIS</t>
  </si>
  <si>
    <t>Contribuição Previdenciária sobre a Receita Bruta - CPRB</t>
  </si>
  <si>
    <t>Receita Líquida</t>
  </si>
  <si>
    <r>
      <rPr>
        <b/>
        <sz val="8"/>
        <rFont val="Calibri"/>
        <family val="2"/>
      </rPr>
      <t>Custos Operacionais (</t>
    </r>
    <r>
      <rPr>
        <i/>
        <sz val="8"/>
        <rFont val="Calibri"/>
        <family val="2"/>
      </rPr>
      <t>R$/ano)</t>
    </r>
  </si>
  <si>
    <t>Depesa com Pessoal</t>
  </si>
  <si>
    <t>Despesa com Benefício Social + EPI</t>
  </si>
  <si>
    <t>Seguro de Vida, Invalidez e Funeral:</t>
  </si>
  <si>
    <r>
      <rPr>
        <b/>
        <sz val="8"/>
        <rFont val="Calibri"/>
        <family val="2"/>
      </rPr>
      <t>EBITDA (</t>
    </r>
    <r>
      <rPr>
        <b/>
        <i/>
        <sz val="8"/>
        <rFont val="Calibri"/>
        <family val="2"/>
      </rPr>
      <t>Lucro antes de juros, impostos, depreciação e amortização)</t>
    </r>
  </si>
  <si>
    <t>Ganho efetivo da operação</t>
  </si>
  <si>
    <r>
      <rPr>
        <b/>
        <sz val="8"/>
        <rFont val="Calibri"/>
        <family val="2"/>
      </rPr>
      <t xml:space="preserve">Depreciação </t>
    </r>
    <r>
      <rPr>
        <i/>
        <sz val="8"/>
        <rFont val="Calibri"/>
        <family val="2"/>
      </rPr>
      <t>(R$/ano)</t>
    </r>
  </si>
  <si>
    <t>Depreciação do Veículo - Utilitário</t>
  </si>
  <si>
    <r>
      <rPr>
        <b/>
        <sz val="8"/>
        <rFont val="Calibri"/>
        <family val="2"/>
      </rPr>
      <t xml:space="preserve">EBIT  </t>
    </r>
    <r>
      <rPr>
        <i/>
        <sz val="8"/>
        <rFont val="Calibri"/>
        <family val="2"/>
      </rPr>
      <t>(Lucro antes de juros e imposto de renda)</t>
    </r>
  </si>
  <si>
    <t>Despesas com Arrecadação</t>
  </si>
  <si>
    <r>
      <rPr>
        <b/>
        <sz val="8"/>
        <rFont val="Calibri"/>
        <family val="2"/>
      </rPr>
      <t xml:space="preserve">EBT </t>
    </r>
    <r>
      <rPr>
        <i/>
        <sz val="8"/>
        <rFont val="Calibri"/>
        <family val="2"/>
      </rPr>
      <t>(Lucro antes de imposto de renda)</t>
    </r>
  </si>
  <si>
    <t>Imposto de Renda e CSLL</t>
  </si>
  <si>
    <t>Contribuição Social Sobre Lucro - CSLL</t>
  </si>
  <si>
    <t>Imposto de Renda - IR</t>
  </si>
  <si>
    <t>Adicional de Imposto de Renda</t>
  </si>
  <si>
    <t>Lucro Líquido do Exercício</t>
  </si>
  <si>
    <t>Taxa de Lucratividade sobre a Receita</t>
  </si>
  <si>
    <t>Valores Não Desembolsados</t>
  </si>
  <si>
    <t>Depreciação de Máquinas, Equipamentos e Escritório</t>
  </si>
  <si>
    <t xml:space="preserve">Implantação </t>
  </si>
  <si>
    <t xml:space="preserve">Execução Plena </t>
  </si>
  <si>
    <t>Quantidade Total de Vagas Quatro Rodas</t>
  </si>
  <si>
    <t>Quantidade Total de Vagas Duas  Rodas</t>
  </si>
  <si>
    <r>
      <rPr>
        <b/>
        <sz val="8"/>
        <rFont val="Calibri"/>
        <family val="2"/>
      </rPr>
      <t xml:space="preserve">Tarifa Básica de Utilização Quadro Rodas </t>
    </r>
    <r>
      <rPr>
        <i/>
        <sz val="8"/>
        <rFont val="Calibri"/>
        <family val="2"/>
      </rPr>
      <t>(R$/hora)</t>
    </r>
  </si>
  <si>
    <r>
      <rPr>
        <b/>
        <sz val="8"/>
        <rFont val="Calibri"/>
        <family val="2"/>
      </rPr>
      <t xml:space="preserve">Tarifa Básica de Utilização Duas Rodas </t>
    </r>
    <r>
      <rPr>
        <i/>
        <sz val="8"/>
        <rFont val="Calibri"/>
        <family val="2"/>
      </rPr>
      <t>(R$/hora)</t>
    </r>
  </si>
  <si>
    <t>13.1</t>
  </si>
  <si>
    <t>13.2</t>
  </si>
  <si>
    <t>13.3</t>
  </si>
  <si>
    <t>13.4</t>
  </si>
  <si>
    <r>
      <rPr>
        <b/>
        <sz val="8"/>
        <color rgb="FFFFFFFF"/>
        <rFont val="Calibri"/>
        <family val="2"/>
      </rPr>
      <t>B. Fluxo de Caixa</t>
    </r>
  </si>
  <si>
    <t>Fluxo de Caixa Operacional</t>
  </si>
  <si>
    <t>Investimentos</t>
  </si>
  <si>
    <t>Fluxo de Caixa dos Investimentos</t>
  </si>
  <si>
    <t>Fluxo de Caixa Livre</t>
  </si>
  <si>
    <t>Ano 3</t>
  </si>
  <si>
    <t>Ano 4</t>
  </si>
  <si>
    <t>Ano 5</t>
  </si>
  <si>
    <t>dez/24 a dez/25</t>
  </si>
  <si>
    <t>jan/26 a dez/26</t>
  </si>
  <si>
    <t>jan/27 a dez/27</t>
  </si>
  <si>
    <t>jan/28 a dez/28</t>
  </si>
  <si>
    <t>jan/29a dez/29</t>
  </si>
  <si>
    <t>Previsão de Faturamento Primeiro Ano Total</t>
  </si>
  <si>
    <t>Calculo Mensal</t>
  </si>
  <si>
    <t>Atualização</t>
  </si>
  <si>
    <t>Planilha 14 - Fluxo de Caixa Projetado</t>
  </si>
  <si>
    <t>Payback</t>
  </si>
  <si>
    <t>Base</t>
  </si>
  <si>
    <t>a.a.</t>
  </si>
  <si>
    <t>SELIC</t>
  </si>
  <si>
    <t>Beta não alavancado</t>
  </si>
  <si>
    <t>Fonte</t>
  </si>
  <si>
    <t>Sigla</t>
  </si>
  <si>
    <t>Item</t>
  </si>
  <si>
    <t>Como encontrá-lo</t>
  </si>
  <si>
    <t>Valor</t>
  </si>
  <si>
    <t>U.S. Tr Bond - 10Y</t>
  </si>
  <si>
    <t>Rf</t>
  </si>
  <si>
    <t>Taxa livre de risco (Risk free)</t>
  </si>
  <si>
    <t>É o retorno que o investidor pode esperar de um investimento sem  risco. O prêmio de risco de mercado é uma função da oferta e demanda. Quando em equilíbrio, não há necessidade de pagar um prêmio, isto é, a oferta está alinhada à demanda. Se a demanda aumenta e a oferta não  a supre, o preço daquele ativo sobre. A diferença de preço é o prêmio. O prêmio de risco de mercado é a diferença de preço em relação ao risco de equilíbrio</t>
  </si>
  <si>
    <t>Defina o risco de equilíbrio ou a taxa livre de risco. O investimento com menor risco são os títulos da dívida do governo dos EUA, isto é, há uma chance muito remota de que o governo americano dê um calote. Por essa razão, a taxa de retorno desses títulos é sempre usada como uma aproximação para a taxa de retorno livre de risco. Outra aproximação é a LIBOR ("London interbank offer rate" - Taxa interbancária de Londres). Determine a taxa livre de risco. Novamente, como os títulos possuem a confiança e o crédito do governo dos EUA, usaremos os títulos do governo de 10 anos como uma aproximação para a taxa livre de risco. Essa é a taxa básica.</t>
  </si>
  <si>
    <t>a.a</t>
  </si>
  <si>
    <t>Rm</t>
  </si>
  <si>
    <t>Risco de mercado</t>
  </si>
  <si>
    <t>Utilizar a taxa SELIC</t>
  </si>
  <si>
    <t>(Rm-Rf)</t>
  </si>
  <si>
    <t>Prêmio de risco de mercado (Rm-Rf)</t>
  </si>
  <si>
    <t>Refere-se a um adicional sobre o rendimento em um ativo livre de risco que é requerido por investidores daquele mercado e obtém-se a partir de uma série histórica longa de rendimentos médios anuais históricos de um portfólio de mercado de referência.</t>
  </si>
  <si>
    <t>Considerando o equilíbrio entre capital próprio (Equity, E) e capital de terceiros (Dívida, D), estima-se que a estrutura de capital alvo da Concessão contempla estrutura alavancada. Esta estrutura representa a média de alavancagem da vida do projeto tendo em vista o horizonte de 10 anos da Concessão.</t>
  </si>
  <si>
    <t>Bu</t>
  </si>
  <si>
    <t>T</t>
  </si>
  <si>
    <t>Rb</t>
  </si>
  <si>
    <t>E</t>
  </si>
  <si>
    <t>D</t>
  </si>
  <si>
    <t>D/E</t>
  </si>
  <si>
    <t>Reflete a sensibilidade, volatilidade do investimento em relação aos movimentos do mercado como um todo e pode ser definido como o grau de incerteza em relação à projeção do retorno sobre o ativo inerente ao negócio que não pode ser eliminado pela diversificação.</t>
  </si>
  <si>
    <t>Corresponde a soma da CSLL (Contribuição Social sobre Lucro Líquido, equivalente a 9% a.a., o IR de 15% a.a. e o Adicional de IR, de 10% a.a.</t>
  </si>
  <si>
    <t>Média  anual do índice EMBI+- Emerging Markets Bond. Corresponde ao spread entre os títulos da dívida externa brasileira e os títulos da dívida pública americana.</t>
  </si>
  <si>
    <t>Website Damodaran Online</t>
  </si>
  <si>
    <t>Adotando como referência a base de dados de Aswath Damodaran que contempla empresas internacionais de transporte público, identificou-se os respectivos Betas, o perfil de endividamento e os impostos cobrados em seus respectivos países.</t>
  </si>
  <si>
    <t>Balanço Social Empresas de Ônibus</t>
  </si>
  <si>
    <t>Empresa (D=25%)</t>
  </si>
  <si>
    <t>IPEADATA</t>
  </si>
  <si>
    <t>Risco país</t>
  </si>
  <si>
    <t>Conceito que considera a possibilidade de alterações no cenário econômico-financeiro de determinado país com reflexos nos ativos de empresas estrangeiras a partir dos investimentos realizados. Esse indicador representa o risco percebido pela comunidade internacional de investidores a investimentos feitos no Brasil.</t>
  </si>
  <si>
    <r>
      <rPr>
        <sz val="8"/>
        <rFont val="Calibri"/>
        <family val="2"/>
        <scheme val="minor"/>
      </rPr>
      <t>S&amp;P 500
(30 anos)</t>
    </r>
  </si>
  <si>
    <r>
      <rPr>
        <sz val="8"/>
        <rFont val="Calibri"/>
        <family val="2"/>
        <scheme val="minor"/>
      </rPr>
      <t>Determine a taxa de retorno de mercado.
Encontre o prêmio de risco de mercado. Encontre a diferença entre a taxa média de retorno de mercado e a taxa livre de risco.
Diferença entre a taxa SELIC e a taxa livre de risco (U.S. Tr.Bond).</t>
    </r>
  </si>
  <si>
    <r>
      <rPr>
        <sz val="8"/>
        <rFont val="Calibri"/>
        <family val="2"/>
        <scheme val="minor"/>
      </rPr>
      <t>Capital próprio (Equity) Capital de terceiros
Estrutura de capital</t>
    </r>
  </si>
  <si>
    <r>
      <rPr>
        <sz val="8"/>
        <rFont val="Calibri"/>
        <family val="2"/>
        <scheme val="minor"/>
      </rPr>
      <t>Website Damodaran
Online</t>
    </r>
  </si>
  <si>
    <t xml:space="preserve">Beta </t>
  </si>
  <si>
    <t>BL</t>
  </si>
  <si>
    <t>Imposto</t>
  </si>
  <si>
    <t>Re (US, nominal)</t>
  </si>
  <si>
    <t>Custo de Capital prórpio nominal</t>
  </si>
  <si>
    <t>BL=Bu x (1 + [ ( 1-T ) x (D/E) ] )</t>
  </si>
  <si>
    <t>Re= Rf +Bl x (Rm - Rf) + Rb</t>
  </si>
  <si>
    <t>FED</t>
  </si>
  <si>
    <t>BACEN</t>
  </si>
  <si>
    <t>Inflação US</t>
  </si>
  <si>
    <t>Inflação Br</t>
  </si>
  <si>
    <t>Considera-se a taxa de inflação de longo prazo projetada dos Estados Unidos¹ e a projeção de inflação de longo prazo do Banco Central do Brasil (BACEN) na daté julho de 2024 para obtenção do custo de capital próprio em moeda nacional</t>
  </si>
  <si>
    <t>Re (Br, nominal)</t>
  </si>
  <si>
    <t>BNDES</t>
  </si>
  <si>
    <t>Taxa de intermediação financeira</t>
  </si>
  <si>
    <t>Risco de crédito</t>
  </si>
  <si>
    <t>TLP</t>
  </si>
  <si>
    <t xml:space="preserve">Remuneração </t>
  </si>
  <si>
    <t>Rd nominal</t>
  </si>
  <si>
    <t>WACC nominal</t>
  </si>
  <si>
    <t>WACC Real</t>
  </si>
  <si>
    <t>Planilha 15 - Calculo de WACC</t>
  </si>
  <si>
    <t>1 - Vaga de estacionamento destinada para automóveis, caminhonetes, camionetas e similares;
2 - A porcentagem de Repasse,referente a vaga de estacionamento destinadas a ciclomotores, motocicletas, motonetas e similares
corresponderá a 20% para Repasse.</t>
  </si>
  <si>
    <t>O sistema deverá estar completamente implantado em até 90 dias após a assinatura do contrato</t>
  </si>
  <si>
    <r>
      <t>Será realizado em apenas uma fase, t</t>
    </r>
    <r>
      <rPr>
        <b/>
        <sz val="7"/>
        <rFont val="Calibri"/>
        <family val="1"/>
      </rPr>
      <t>otalizando 1.822, sendo 1.166 vagas para veiculos quadro rodas e 656 vagas para veíciulos duas rodas  vagas automóveis,1100 vagas para motos, conforme demonstrado na Planilha 16 - Demonstrativo de Vagas Ofertadas.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</si>
</sst>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164" formatCode="0."/>
    <numFmt numFmtId="165" formatCode="0.0000"/>
    <numFmt numFmtId="166" formatCode="0.0"/>
    <numFmt numFmtId="167" formatCode="0.00000000"/>
    <numFmt numFmtId="168" formatCode="0.0000%"/>
    <numFmt numFmtId="169" formatCode="0.0%"/>
    <numFmt numFmtId="170" formatCode="0.000%"/>
    <numFmt numFmtId="171" formatCode="0.00000"/>
    <numFmt numFmtId="172" formatCode="_-&quot;R$&quot;\ * #,##0.0000_-;\-&quot;R$&quot;\ * #,##0.0000_-;_-&quot;R$&quot;\ * &quot;-&quot;????_-;_-@_-"/>
    <numFmt numFmtId="173" formatCode="_-&quot;R$&quot;\ * #,##0.00_-;\-&quot;R$&quot;\ * #,##0.00_-;_-&quot;R$&quot;\ * &quot;-&quot;????_-;_-@_-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Calibri"/>
      <family val="2"/>
    </font>
    <font>
      <b/>
      <sz val="8.5"/>
      <name val="Calibri"/>
      <family val="1"/>
    </font>
    <font>
      <b/>
      <sz val="7"/>
      <name val="Calibri"/>
      <family val="2"/>
    </font>
    <font>
      <b/>
      <sz val="7"/>
      <name val="Calibri"/>
      <family val="1"/>
    </font>
    <font>
      <sz val="7"/>
      <color rgb="FF000000"/>
      <name val="Calibri"/>
      <family val="2"/>
    </font>
    <font>
      <sz val="7"/>
      <name val="Calibri"/>
      <family val="2"/>
    </font>
    <font>
      <sz val="7"/>
      <name val="Calibri"/>
      <family val="1"/>
    </font>
    <font>
      <i/>
      <sz val="5.5"/>
      <name val="Calibri"/>
      <family val="2"/>
    </font>
    <font>
      <i/>
      <sz val="5.5"/>
      <color rgb="FFFF0000"/>
      <name val="Calibri"/>
      <family val="1"/>
    </font>
    <font>
      <sz val="8"/>
      <color theme="1"/>
      <name val="Calibri"/>
      <family val="2"/>
      <scheme val="minor"/>
    </font>
    <font>
      <b/>
      <sz val="9"/>
      <name val="Calibri"/>
      <family val="2"/>
    </font>
    <font>
      <sz val="9"/>
      <color theme="1"/>
      <name val="Calibri"/>
      <family val="2"/>
      <scheme val="minor"/>
    </font>
    <font>
      <i/>
      <sz val="8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  <font>
      <b/>
      <sz val="9"/>
      <color rgb="FF000000"/>
      <name val="Calibri"/>
      <family val="2"/>
    </font>
    <font>
      <b/>
      <i/>
      <vertAlign val="superscript"/>
      <sz val="9"/>
      <color rgb="FFFF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b/>
      <sz val="8"/>
      <name val="Calibri"/>
      <family val="2"/>
    </font>
    <font>
      <i/>
      <sz val="6"/>
      <name val="Calibri"/>
      <family val="2"/>
    </font>
    <font>
      <b/>
      <sz val="8"/>
      <color rgb="FF000000"/>
      <name val="Calibri"/>
      <family val="2"/>
    </font>
    <font>
      <b/>
      <sz val="9"/>
      <name val="Calibri"/>
      <family val="1"/>
    </font>
    <font>
      <i/>
      <sz val="8"/>
      <name val="Calibri"/>
      <family val="1"/>
    </font>
    <font>
      <sz val="8"/>
      <color rgb="FF000000"/>
      <name val="Times New Roman"/>
      <family val="1"/>
    </font>
    <font>
      <sz val="8"/>
      <name val="Calibri"/>
      <family val="1"/>
    </font>
    <font>
      <sz val="9"/>
      <color rgb="FF000000"/>
      <name val="Times New Roman"/>
      <family val="1"/>
    </font>
    <font>
      <b/>
      <sz val="10"/>
      <name val="Calibri"/>
      <family val="2"/>
    </font>
    <font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name val="Calibri"/>
      <family val="1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9"/>
      <name val="Calibri"/>
      <family val="2"/>
    </font>
    <font>
      <i/>
      <sz val="9"/>
      <color rgb="FF000000"/>
      <name val="Calibri"/>
      <family val="2"/>
    </font>
    <font>
      <sz val="9"/>
      <name val="Calibri"/>
      <family val="2"/>
    </font>
    <font>
      <i/>
      <sz val="8"/>
      <color rgb="FFFF0000"/>
      <name val="Calibri"/>
      <family val="2"/>
    </font>
    <font>
      <b/>
      <sz val="8"/>
      <color rgb="FFFFFFFF"/>
      <name val="Calibri"/>
      <family val="2"/>
    </font>
    <font>
      <b/>
      <sz val="11"/>
      <color theme="1"/>
      <name val="Calibri"/>
      <family val="2"/>
    </font>
    <font>
      <b/>
      <i/>
      <sz val="8"/>
      <name val="Calibri"/>
      <family val="2"/>
    </font>
    <font>
      <i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08080"/>
      </patternFill>
    </fill>
    <fill>
      <patternFill patternType="solid">
        <fgColor rgb="FFC4D69B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6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4" fontId="0" fillId="0" borderId="0" xfId="1" applyFont="1"/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shrinkToFit="1"/>
    </xf>
    <xf numFmtId="164" fontId="17" fillId="3" borderId="2" xfId="0" applyNumberFormat="1" applyFont="1" applyFill="1" applyBorder="1" applyAlignment="1">
      <alignment horizontal="center" vertical="center" shrinkToFi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8" xfId="1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44" fontId="16" fillId="0" borderId="2" xfId="1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/>
    </xf>
    <xf numFmtId="0" fontId="13" fillId="0" borderId="0" xfId="0" applyFont="1"/>
    <xf numFmtId="0" fontId="12" fillId="4" borderId="2" xfId="0" applyFont="1" applyFill="1" applyBorder="1" applyAlignment="1">
      <alignment vertical="center" wrapText="1"/>
    </xf>
    <xf numFmtId="44" fontId="16" fillId="0" borderId="1" xfId="1" applyFont="1" applyBorder="1" applyAlignment="1">
      <alignment horizontal="left" vertical="center" shrinkToFit="1"/>
    </xf>
    <xf numFmtId="0" fontId="11" fillId="0" borderId="0" xfId="0" applyFont="1"/>
    <xf numFmtId="0" fontId="11" fillId="0" borderId="0" xfId="0" applyFont="1" applyAlignment="1">
      <alignment horizontal="center"/>
    </xf>
    <xf numFmtId="44" fontId="11" fillId="0" borderId="0" xfId="1" applyFont="1" applyAlignment="1">
      <alignment horizontal="left"/>
    </xf>
    <xf numFmtId="44" fontId="12" fillId="2" borderId="2" xfId="1" applyFont="1" applyFill="1" applyBorder="1" applyAlignment="1">
      <alignment horizontal="center" vertical="center"/>
    </xf>
    <xf numFmtId="0" fontId="15" fillId="0" borderId="20" xfId="3" applyFont="1" applyBorder="1" applyAlignment="1">
      <alignment horizontal="left" vertical="center" wrapText="1"/>
    </xf>
    <xf numFmtId="1" fontId="16" fillId="0" borderId="20" xfId="3" applyNumberFormat="1" applyFont="1" applyBorder="1" applyAlignment="1">
      <alignment horizontal="center" vertical="center" shrinkToFit="1"/>
    </xf>
    <xf numFmtId="44" fontId="16" fillId="0" borderId="20" xfId="1" applyFont="1" applyFill="1" applyBorder="1" applyAlignment="1">
      <alignment horizontal="left" vertical="center" shrinkToFit="1"/>
    </xf>
    <xf numFmtId="0" fontId="27" fillId="0" borderId="17" xfId="3" applyFont="1" applyBorder="1" applyAlignment="1">
      <alignment horizontal="left" vertical="center" wrapText="1"/>
    </xf>
    <xf numFmtId="0" fontId="27" fillId="0" borderId="18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left" vertical="center" wrapText="1"/>
    </xf>
    <xf numFmtId="1" fontId="16" fillId="0" borderId="1" xfId="3" applyNumberFormat="1" applyFont="1" applyBorder="1" applyAlignment="1">
      <alignment horizontal="center" vertical="center" shrinkToFit="1"/>
    </xf>
    <xf numFmtId="44" fontId="16" fillId="0" borderId="1" xfId="1" applyFont="1" applyFill="1" applyBorder="1" applyAlignment="1">
      <alignment horizontal="left" vertical="center" shrinkToFit="1"/>
    </xf>
    <xf numFmtId="0" fontId="13" fillId="0" borderId="0" xfId="0" applyFont="1" applyAlignment="1">
      <alignment vertical="center"/>
    </xf>
    <xf numFmtId="0" fontId="27" fillId="0" borderId="3" xfId="3" applyFont="1" applyBorder="1" applyAlignment="1">
      <alignment horizontal="left" vertical="center" wrapText="1"/>
    </xf>
    <xf numFmtId="0" fontId="27" fillId="0" borderId="8" xfId="3" applyFont="1" applyBorder="1" applyAlignment="1">
      <alignment horizontal="center" vertical="center" wrapText="1"/>
    </xf>
    <xf numFmtId="0" fontId="15" fillId="0" borderId="2" xfId="3" applyFont="1" applyBorder="1" applyAlignment="1">
      <alignment horizontal="left" vertical="center" wrapText="1"/>
    </xf>
    <xf numFmtId="1" fontId="16" fillId="0" borderId="2" xfId="3" applyNumberFormat="1" applyFont="1" applyBorder="1" applyAlignment="1">
      <alignment horizontal="center" vertical="center" shrinkToFit="1"/>
    </xf>
    <xf numFmtId="44" fontId="16" fillId="0" borderId="2" xfId="1" applyFont="1" applyFill="1" applyBorder="1" applyAlignment="1">
      <alignment horizontal="left" vertical="center" shrinkToFit="1"/>
    </xf>
    <xf numFmtId="0" fontId="14" fillId="0" borderId="2" xfId="3" applyFont="1" applyBorder="1" applyAlignment="1">
      <alignment horizontal="center" vertical="center" wrapText="1"/>
    </xf>
    <xf numFmtId="0" fontId="27" fillId="0" borderId="0" xfId="3" applyFont="1" applyAlignment="1">
      <alignment horizontal="center" vertical="center" wrapText="1"/>
    </xf>
    <xf numFmtId="0" fontId="29" fillId="0" borderId="8" xfId="3" applyFont="1" applyBorder="1" applyAlignment="1">
      <alignment horizontal="center" vertical="center" wrapText="1"/>
    </xf>
    <xf numFmtId="0" fontId="27" fillId="0" borderId="19" xfId="3" applyFont="1" applyBorder="1" applyAlignment="1">
      <alignment horizontal="left" vertical="center" wrapText="1"/>
    </xf>
    <xf numFmtId="0" fontId="27" fillId="0" borderId="21" xfId="3" applyFont="1" applyBorder="1" applyAlignment="1">
      <alignment horizontal="center" vertical="center" wrapText="1"/>
    </xf>
    <xf numFmtId="0" fontId="28" fillId="0" borderId="2" xfId="3" applyFont="1" applyBorder="1" applyAlignment="1">
      <alignment horizontal="left" vertical="center" wrapText="1"/>
    </xf>
    <xf numFmtId="0" fontId="27" fillId="0" borderId="2" xfId="3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26" fillId="0" borderId="2" xfId="3" applyFont="1" applyBorder="1" applyAlignment="1">
      <alignment horizontal="center" vertical="center" wrapText="1"/>
    </xf>
    <xf numFmtId="0" fontId="12" fillId="4" borderId="2" xfId="3" applyFont="1" applyFill="1" applyBorder="1" applyAlignment="1">
      <alignment horizontal="center" vertical="center"/>
    </xf>
    <xf numFmtId="44" fontId="12" fillId="4" borderId="2" xfId="1" applyFont="1" applyFill="1" applyBorder="1" applyAlignment="1">
      <alignment horizontal="center" vertical="center"/>
    </xf>
    <xf numFmtId="0" fontId="12" fillId="4" borderId="2" xfId="3" applyFont="1" applyFill="1" applyBorder="1" applyAlignment="1">
      <alignment horizontal="center" vertical="center" wrapText="1"/>
    </xf>
    <xf numFmtId="164" fontId="17" fillId="3" borderId="2" xfId="3" applyNumberFormat="1" applyFont="1" applyFill="1" applyBorder="1" applyAlignment="1">
      <alignment horizontal="center" vertical="center" shrinkToFit="1"/>
    </xf>
    <xf numFmtId="164" fontId="17" fillId="3" borderId="2" xfId="3" applyNumberFormat="1" applyFont="1" applyFill="1" applyBorder="1" applyAlignment="1">
      <alignment horizontal="right" vertical="center" shrinkToFit="1"/>
    </xf>
    <xf numFmtId="44" fontId="17" fillId="4" borderId="2" xfId="1" applyFont="1" applyFill="1" applyBorder="1" applyAlignment="1">
      <alignment horizontal="left" vertical="center" shrinkToFit="1"/>
    </xf>
    <xf numFmtId="0" fontId="31" fillId="0" borderId="8" xfId="3" applyFont="1" applyBorder="1" applyAlignment="1">
      <alignment horizontal="center" vertical="center" wrapText="1"/>
    </xf>
    <xf numFmtId="44" fontId="33" fillId="4" borderId="2" xfId="1" applyFont="1" applyFill="1" applyBorder="1" applyAlignment="1">
      <alignment horizontal="left" vertical="center" shrinkToFit="1"/>
    </xf>
    <xf numFmtId="44" fontId="16" fillId="0" borderId="0" xfId="1" applyFont="1" applyFill="1" applyBorder="1" applyAlignment="1">
      <alignment horizontal="left" vertical="center" shrinkToFit="1"/>
    </xf>
    <xf numFmtId="44" fontId="17" fillId="4" borderId="24" xfId="1" applyFont="1" applyFill="1" applyBorder="1" applyAlignment="1">
      <alignment horizontal="left" vertical="center" shrinkToFit="1"/>
    </xf>
    <xf numFmtId="3" fontId="16" fillId="0" borderId="2" xfId="3" applyNumberFormat="1" applyFont="1" applyBorder="1" applyAlignment="1">
      <alignment horizontal="center" vertical="center" shrinkToFit="1"/>
    </xf>
    <xf numFmtId="44" fontId="17" fillId="3" borderId="2" xfId="1" applyFont="1" applyFill="1" applyBorder="1" applyAlignment="1">
      <alignment horizontal="left" vertical="center" shrinkToFit="1"/>
    </xf>
    <xf numFmtId="0" fontId="15" fillId="0" borderId="4" xfId="3" applyFont="1" applyBorder="1" applyAlignment="1">
      <alignment horizontal="left" vertical="center" wrapText="1"/>
    </xf>
    <xf numFmtId="44" fontId="16" fillId="0" borderId="4" xfId="1" applyFont="1" applyFill="1" applyBorder="1" applyAlignment="1">
      <alignment horizontal="left" vertical="center" shrinkToFit="1"/>
    </xf>
    <xf numFmtId="44" fontId="17" fillId="4" borderId="7" xfId="1" applyFont="1" applyFill="1" applyBorder="1" applyAlignment="1">
      <alignment horizontal="left" vertical="center" shrinkToFit="1"/>
    </xf>
    <xf numFmtId="44" fontId="17" fillId="4" borderId="25" xfId="1" applyFont="1" applyFill="1" applyBorder="1" applyAlignment="1">
      <alignment horizontal="left" vertical="center" shrinkToFit="1"/>
    </xf>
    <xf numFmtId="44" fontId="35" fillId="4" borderId="2" xfId="1" applyFont="1" applyFill="1" applyBorder="1" applyAlignment="1">
      <alignment horizontal="left" vertical="center" shrinkToFit="1"/>
    </xf>
    <xf numFmtId="165" fontId="36" fillId="0" borderId="2" xfId="3" applyNumberFormat="1" applyFont="1" applyBorder="1" applyAlignment="1">
      <alignment horizontal="center" vertical="center" shrinkToFit="1"/>
    </xf>
    <xf numFmtId="0" fontId="14" fillId="0" borderId="1" xfId="3" applyFont="1" applyBorder="1" applyAlignment="1">
      <alignment horizontal="right" vertical="center" wrapText="1"/>
    </xf>
    <xf numFmtId="44" fontId="11" fillId="0" borderId="0" xfId="1" applyFont="1" applyAlignment="1">
      <alignment vertical="center"/>
    </xf>
    <xf numFmtId="44" fontId="11" fillId="0" borderId="0" xfId="1" applyFont="1" applyAlignment="1">
      <alignment horizontal="left" vertical="center"/>
    </xf>
    <xf numFmtId="44" fontId="12" fillId="4" borderId="2" xfId="1" applyFont="1" applyFill="1" applyBorder="1" applyAlignment="1">
      <alignment horizontal="center" vertical="center" wrapText="1"/>
    </xf>
    <xf numFmtId="0" fontId="14" fillId="0" borderId="20" xfId="3" applyFont="1" applyBorder="1" applyAlignment="1">
      <alignment horizontal="right" vertical="center" wrapText="1"/>
    </xf>
    <xf numFmtId="0" fontId="14" fillId="0" borderId="4" xfId="3" applyFont="1" applyBorder="1" applyAlignment="1">
      <alignment horizontal="right" vertical="center" wrapText="1"/>
    </xf>
    <xf numFmtId="1" fontId="16" fillId="0" borderId="4" xfId="3" applyNumberFormat="1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left" vertical="center" wrapText="1"/>
    </xf>
    <xf numFmtId="1" fontId="16" fillId="0" borderId="1" xfId="0" applyNumberFormat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center"/>
    </xf>
    <xf numFmtId="164" fontId="17" fillId="4" borderId="2" xfId="0" applyNumberFormat="1" applyFont="1" applyFill="1" applyBorder="1" applyAlignment="1">
      <alignment horizontal="right" vertical="center" shrinkToFit="1"/>
    </xf>
    <xf numFmtId="0" fontId="11" fillId="0" borderId="1" xfId="0" applyFont="1" applyBorder="1" applyAlignment="1">
      <alignment horizontal="center" vertical="center" wrapText="1"/>
    </xf>
    <xf numFmtId="44" fontId="38" fillId="2" borderId="2" xfId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171" fontId="15" fillId="0" borderId="2" xfId="0" applyNumberFormat="1" applyFont="1" applyBorder="1" applyAlignment="1">
      <alignment horizontal="center" vertical="center" wrapText="1"/>
    </xf>
    <xf numFmtId="44" fontId="20" fillId="4" borderId="2" xfId="1" applyFont="1" applyFill="1" applyBorder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4" borderId="2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right" vertical="center" shrinkToFit="1"/>
    </xf>
    <xf numFmtId="1" fontId="44" fillId="4" borderId="2" xfId="0" applyNumberFormat="1" applyFont="1" applyFill="1" applyBorder="1" applyAlignment="1">
      <alignment horizontal="center" vertical="center" shrinkToFit="1"/>
    </xf>
    <xf numFmtId="44" fontId="16" fillId="0" borderId="2" xfId="1" applyFont="1" applyBorder="1" applyAlignment="1">
      <alignment vertical="center" shrinkToFit="1"/>
    </xf>
    <xf numFmtId="4" fontId="16" fillId="0" borderId="2" xfId="0" applyNumberFormat="1" applyFont="1" applyBorder="1" applyAlignment="1">
      <alignment horizontal="right" vertical="center" shrinkToFit="1"/>
    </xf>
    <xf numFmtId="0" fontId="12" fillId="2" borderId="5" xfId="0" applyFont="1" applyFill="1" applyBorder="1" applyAlignment="1">
      <alignment horizontal="center" vertical="center" wrapText="1"/>
    </xf>
    <xf numFmtId="44" fontId="12" fillId="2" borderId="5" xfId="1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64" fontId="17" fillId="3" borderId="2" xfId="0" applyNumberFormat="1" applyFont="1" applyFill="1" applyBorder="1" applyAlignment="1">
      <alignment horizontal="center" vertical="top" shrinkToFit="1"/>
    </xf>
    <xf numFmtId="0" fontId="12" fillId="0" borderId="0" xfId="3" applyFont="1" applyAlignment="1">
      <alignment horizontal="right" vertical="center" wrapText="1"/>
    </xf>
    <xf numFmtId="44" fontId="17" fillId="0" borderId="0" xfId="1" applyFont="1" applyFill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44" fontId="15" fillId="0" borderId="2" xfId="1" applyFont="1" applyBorder="1" applyAlignment="1">
      <alignment horizontal="left" vertical="center" wrapText="1"/>
    </xf>
    <xf numFmtId="10" fontId="16" fillId="0" borderId="2" xfId="0" applyNumberFormat="1" applyFont="1" applyBorder="1" applyAlignment="1">
      <alignment horizontal="center" vertical="center" shrinkToFit="1"/>
    </xf>
    <xf numFmtId="165" fontId="16" fillId="0" borderId="2" xfId="0" applyNumberFormat="1" applyFont="1" applyBorder="1" applyAlignment="1">
      <alignment horizontal="center" vertical="center" shrinkToFit="1"/>
    </xf>
    <xf numFmtId="44" fontId="22" fillId="0" borderId="2" xfId="0" applyNumberFormat="1" applyFont="1" applyBorder="1" applyAlignment="1">
      <alignment horizontal="righ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shrinkToFit="1"/>
    </xf>
    <xf numFmtId="167" fontId="16" fillId="0" borderId="2" xfId="0" applyNumberFormat="1" applyFont="1" applyBorder="1" applyAlignment="1">
      <alignment horizontal="center" vertical="center" shrinkToFit="1"/>
    </xf>
    <xf numFmtId="44" fontId="15" fillId="0" borderId="2" xfId="1" applyFont="1" applyBorder="1" applyAlignment="1">
      <alignment horizontal="center"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4" fontId="15" fillId="0" borderId="2" xfId="0" applyNumberFormat="1" applyFont="1" applyBorder="1" applyAlignment="1">
      <alignment horizontal="left" vertical="center" wrapText="1"/>
    </xf>
    <xf numFmtId="3" fontId="16" fillId="0" borderId="2" xfId="0" applyNumberFormat="1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wrapText="1"/>
    </xf>
    <xf numFmtId="3" fontId="36" fillId="0" borderId="2" xfId="0" applyNumberFormat="1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left" vertical="center" wrapText="1"/>
    </xf>
    <xf numFmtId="164" fontId="17" fillId="4" borderId="19" xfId="0" applyNumberFormat="1" applyFont="1" applyFill="1" applyBorder="1" applyAlignment="1">
      <alignment horizontal="right" vertical="center" shrinkToFit="1"/>
    </xf>
    <xf numFmtId="0" fontId="22" fillId="3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44" fontId="11" fillId="3" borderId="22" xfId="1" applyFont="1" applyFill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shrinkToFit="1"/>
    </xf>
    <xf numFmtId="3" fontId="16" fillId="0" borderId="0" xfId="0" applyNumberFormat="1" applyFont="1" applyAlignment="1">
      <alignment horizontal="center" vertical="center" shrinkToFit="1"/>
    </xf>
    <xf numFmtId="167" fontId="16" fillId="0" borderId="25" xfId="0" applyNumberFormat="1" applyFont="1" applyBorder="1" applyAlignment="1">
      <alignment horizontal="center" vertical="center" shrinkToFit="1"/>
    </xf>
    <xf numFmtId="44" fontId="15" fillId="0" borderId="0" xfId="1" applyFont="1" applyBorder="1" applyAlignment="1">
      <alignment horizontal="left" vertical="center" wrapText="1"/>
    </xf>
    <xf numFmtId="44" fontId="15" fillId="0" borderId="25" xfId="1" applyFont="1" applyBorder="1" applyAlignment="1">
      <alignment horizontal="center" vertical="center" wrapText="1"/>
    </xf>
    <xf numFmtId="1" fontId="16" fillId="0" borderId="0" xfId="0" applyNumberFormat="1" applyFont="1" applyAlignment="1">
      <alignment horizontal="center" vertical="center" shrinkToFit="1"/>
    </xf>
    <xf numFmtId="10" fontId="16" fillId="0" borderId="0" xfId="0" applyNumberFormat="1" applyFont="1" applyAlignment="1">
      <alignment horizontal="center" vertical="center" shrinkToFit="1"/>
    </xf>
    <xf numFmtId="167" fontId="16" fillId="0" borderId="0" xfId="0" applyNumberFormat="1" applyFont="1" applyAlignment="1">
      <alignment vertical="center" shrinkToFit="1"/>
    </xf>
    <xf numFmtId="44" fontId="22" fillId="0" borderId="2" xfId="1" applyFont="1" applyBorder="1" applyAlignment="1">
      <alignment horizontal="left" vertical="center" wrapText="1"/>
    </xf>
    <xf numFmtId="44" fontId="36" fillId="0" borderId="2" xfId="1" applyFont="1" applyBorder="1" applyAlignment="1">
      <alignment horizontal="left" vertical="center" shrinkToFit="1"/>
    </xf>
    <xf numFmtId="44" fontId="22" fillId="0" borderId="7" xfId="1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1" fontId="16" fillId="0" borderId="24" xfId="0" applyNumberFormat="1" applyFont="1" applyBorder="1" applyAlignment="1">
      <alignment horizontal="center" vertical="center" shrinkToFit="1"/>
    </xf>
    <xf numFmtId="44" fontId="15" fillId="0" borderId="24" xfId="1" applyFont="1" applyBorder="1" applyAlignment="1">
      <alignment horizontal="left" vertical="center" wrapText="1"/>
    </xf>
    <xf numFmtId="44" fontId="22" fillId="0" borderId="24" xfId="1" applyFont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168" fontId="16" fillId="0" borderId="2" xfId="0" applyNumberFormat="1" applyFont="1" applyBorder="1" applyAlignment="1">
      <alignment horizontal="center" vertical="center" shrinkToFit="1"/>
    </xf>
    <xf numFmtId="44" fontId="15" fillId="0" borderId="2" xfId="0" applyNumberFormat="1" applyFont="1" applyBorder="1" applyAlignment="1">
      <alignment horizontal="center" vertical="center" wrapText="1"/>
    </xf>
    <xf numFmtId="173" fontId="15" fillId="0" borderId="2" xfId="0" applyNumberFormat="1" applyFont="1" applyBorder="1" applyAlignment="1">
      <alignment horizontal="center" vertical="center" wrapText="1"/>
    </xf>
    <xf numFmtId="172" fontId="15" fillId="0" borderId="2" xfId="0" applyNumberFormat="1" applyFont="1" applyBorder="1" applyAlignment="1">
      <alignment horizontal="center" vertical="center" wrapText="1"/>
    </xf>
    <xf numFmtId="9" fontId="16" fillId="0" borderId="2" xfId="0" applyNumberFormat="1" applyFont="1" applyBorder="1" applyAlignment="1">
      <alignment horizontal="center" vertical="center" shrinkToFit="1"/>
    </xf>
    <xf numFmtId="0" fontId="22" fillId="4" borderId="2" xfId="0" applyFont="1" applyFill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center" vertical="center" shrinkToFit="1"/>
    </xf>
    <xf numFmtId="164" fontId="17" fillId="2" borderId="2" xfId="0" applyNumberFormat="1" applyFont="1" applyFill="1" applyBorder="1" applyAlignment="1">
      <alignment horizontal="center" vertical="center" shrinkToFit="1"/>
    </xf>
    <xf numFmtId="3" fontId="44" fillId="0" borderId="2" xfId="0" applyNumberFormat="1" applyFont="1" applyBorder="1" applyAlignment="1">
      <alignment horizontal="center" vertical="center" shrinkToFit="1"/>
    </xf>
    <xf numFmtId="44" fontId="12" fillId="0" borderId="2" xfId="1" applyFont="1" applyBorder="1" applyAlignment="1">
      <alignment horizontal="left" vertical="center" wrapText="1"/>
    </xf>
    <xf numFmtId="164" fontId="17" fillId="2" borderId="2" xfId="0" applyNumberFormat="1" applyFont="1" applyFill="1" applyBorder="1" applyAlignment="1">
      <alignment horizontal="right" vertical="center" shrinkToFit="1"/>
    </xf>
    <xf numFmtId="0" fontId="14" fillId="0" borderId="7" xfId="0" applyFont="1" applyBorder="1" applyAlignment="1">
      <alignment horizontal="center" vertical="center" wrapText="1"/>
    </xf>
    <xf numFmtId="0" fontId="43" fillId="0" borderId="2" xfId="1" applyNumberFormat="1" applyFont="1" applyBorder="1" applyAlignment="1">
      <alignment horizontal="center" vertical="center" wrapText="1"/>
    </xf>
    <xf numFmtId="44" fontId="12" fillId="0" borderId="24" xfId="1" applyFont="1" applyBorder="1" applyAlignment="1">
      <alignment horizontal="left" vertical="center" wrapText="1"/>
    </xf>
    <xf numFmtId="44" fontId="12" fillId="4" borderId="2" xfId="1" applyFont="1" applyFill="1" applyBorder="1" applyAlignment="1">
      <alignment horizontal="left" vertical="center" wrapText="1"/>
    </xf>
    <xf numFmtId="0" fontId="43" fillId="3" borderId="2" xfId="1" applyNumberFormat="1" applyFont="1" applyFill="1" applyBorder="1" applyAlignment="1">
      <alignment horizontal="center" vertical="center" wrapText="1"/>
    </xf>
    <xf numFmtId="1" fontId="16" fillId="0" borderId="18" xfId="0" applyNumberFormat="1" applyFont="1" applyBorder="1" applyAlignment="1">
      <alignment horizontal="center" vertical="center" shrinkToFit="1"/>
    </xf>
    <xf numFmtId="10" fontId="16" fillId="0" borderId="16" xfId="0" applyNumberFormat="1" applyFont="1" applyBorder="1" applyAlignment="1">
      <alignment horizontal="center" vertical="center" shrinkToFit="1"/>
    </xf>
    <xf numFmtId="10" fontId="24" fillId="0" borderId="16" xfId="0" applyNumberFormat="1" applyFont="1" applyBorder="1" applyAlignment="1">
      <alignment horizontal="center" vertical="center" shrinkToFit="1"/>
    </xf>
    <xf numFmtId="10" fontId="16" fillId="2" borderId="16" xfId="0" applyNumberFormat="1" applyFont="1" applyFill="1" applyBorder="1" applyAlignment="1">
      <alignment horizontal="center" vertical="center" shrinkToFit="1"/>
    </xf>
    <xf numFmtId="170" fontId="16" fillId="0" borderId="16" xfId="0" applyNumberFormat="1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vertical="top" wrapText="1"/>
    </xf>
    <xf numFmtId="0" fontId="22" fillId="3" borderId="16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2" fillId="3" borderId="22" xfId="0" applyFont="1" applyFill="1" applyBorder="1" applyAlignment="1">
      <alignment horizontal="center" vertical="center"/>
    </xf>
    <xf numFmtId="0" fontId="14" fillId="0" borderId="6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shrinkToFit="1"/>
    </xf>
    <xf numFmtId="2" fontId="16" fillId="0" borderId="2" xfId="0" applyNumberFormat="1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/>
    </xf>
    <xf numFmtId="9" fontId="16" fillId="2" borderId="2" xfId="0" applyNumberFormat="1" applyFont="1" applyFill="1" applyBorder="1" applyAlignment="1">
      <alignment horizontal="center" vertical="center" shrinkToFit="1"/>
    </xf>
    <xf numFmtId="10" fontId="16" fillId="2" borderId="2" xfId="0" applyNumberFormat="1" applyFont="1" applyFill="1" applyBorder="1" applyAlignment="1">
      <alignment horizontal="center" vertical="center" shrinkToFit="1"/>
    </xf>
    <xf numFmtId="169" fontId="16" fillId="2" borderId="2" xfId="0" applyNumberFormat="1" applyFont="1" applyFill="1" applyBorder="1" applyAlignment="1">
      <alignment horizontal="center" vertical="center" shrinkToFit="1"/>
    </xf>
    <xf numFmtId="1" fontId="24" fillId="0" borderId="5" xfId="0" applyNumberFormat="1" applyFont="1" applyBorder="1" applyAlignment="1">
      <alignment horizontal="center" vertical="center" shrinkToFit="1"/>
    </xf>
    <xf numFmtId="0" fontId="11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1" fontId="16" fillId="0" borderId="23" xfId="0" applyNumberFormat="1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wrapText="1"/>
    </xf>
    <xf numFmtId="10" fontId="16" fillId="0" borderId="23" xfId="0" applyNumberFormat="1" applyFont="1" applyBorder="1" applyAlignment="1">
      <alignment horizontal="center" vertical="center" shrinkToFit="1"/>
    </xf>
    <xf numFmtId="0" fontId="22" fillId="4" borderId="16" xfId="0" applyFont="1" applyFill="1" applyBorder="1" applyAlignment="1">
      <alignment horizontal="center" vertical="center" wrapText="1"/>
    </xf>
    <xf numFmtId="10" fontId="24" fillId="4" borderId="16" xfId="0" applyNumberFormat="1" applyFont="1" applyFill="1" applyBorder="1" applyAlignment="1">
      <alignment horizontal="center" vertical="center" shrinkToFit="1"/>
    </xf>
    <xf numFmtId="0" fontId="23" fillId="0" borderId="2" xfId="0" applyFont="1" applyBorder="1" applyAlignment="1">
      <alignment horizontal="left" vertical="center" wrapText="1"/>
    </xf>
    <xf numFmtId="0" fontId="56" fillId="0" borderId="2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center" vertical="center" wrapText="1"/>
    </xf>
    <xf numFmtId="0" fontId="51" fillId="2" borderId="16" xfId="0" applyFont="1" applyFill="1" applyBorder="1" applyAlignment="1">
      <alignment horizontal="center" vertical="center" wrapText="1"/>
    </xf>
    <xf numFmtId="10" fontId="58" fillId="0" borderId="16" xfId="0" applyNumberFormat="1" applyFont="1" applyBorder="1" applyAlignment="1">
      <alignment horizontal="center" vertical="center" shrinkToFit="1"/>
    </xf>
    <xf numFmtId="0" fontId="56" fillId="0" borderId="2" xfId="0" applyFont="1" applyBorder="1" applyAlignment="1">
      <alignment horizontal="left" vertical="center" wrapText="1"/>
    </xf>
    <xf numFmtId="0" fontId="52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51" fillId="2" borderId="2" xfId="0" applyFont="1" applyFill="1" applyBorder="1" applyAlignment="1">
      <alignment horizontal="right" vertical="center" wrapText="1"/>
    </xf>
    <xf numFmtId="0" fontId="56" fillId="0" borderId="2" xfId="0" applyFont="1" applyBorder="1" applyAlignment="1">
      <alignment horizontal="right" vertical="center" wrapText="1"/>
    </xf>
    <xf numFmtId="0" fontId="52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/>
    </xf>
    <xf numFmtId="0" fontId="51" fillId="2" borderId="16" xfId="0" applyFont="1" applyFill="1" applyBorder="1" applyAlignment="1">
      <alignment horizontal="right" vertical="center" wrapText="1"/>
    </xf>
    <xf numFmtId="0" fontId="56" fillId="0" borderId="16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37" fillId="5" borderId="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44" fontId="37" fillId="5" borderId="2" xfId="1" applyFont="1" applyFill="1" applyBorder="1" applyAlignment="1">
      <alignment horizontal="center" vertical="center" wrapText="1"/>
    </xf>
    <xf numFmtId="44" fontId="51" fillId="2" borderId="18" xfId="1" applyFont="1" applyFill="1" applyBorder="1" applyAlignment="1">
      <alignment horizontal="center" vertical="center" wrapText="1"/>
    </xf>
    <xf numFmtId="44" fontId="53" fillId="2" borderId="2" xfId="1" applyFont="1" applyFill="1" applyBorder="1" applyAlignment="1">
      <alignment horizontal="left" vertical="center" shrinkToFit="1"/>
    </xf>
    <xf numFmtId="44" fontId="57" fillId="0" borderId="17" xfId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/>
    </xf>
    <xf numFmtId="0" fontId="51" fillId="3" borderId="2" xfId="0" applyFont="1" applyFill="1" applyBorder="1" applyAlignment="1">
      <alignment horizontal="right" vertical="center" wrapText="1"/>
    </xf>
    <xf numFmtId="0" fontId="56" fillId="0" borderId="24" xfId="0" applyFont="1" applyBorder="1" applyAlignment="1">
      <alignment horizontal="right" vertical="center" wrapText="1"/>
    </xf>
    <xf numFmtId="0" fontId="56" fillId="0" borderId="7" xfId="0" applyFont="1" applyBorder="1" applyAlignment="1">
      <alignment horizontal="right" vertical="center" wrapText="1"/>
    </xf>
    <xf numFmtId="0" fontId="56" fillId="0" borderId="7" xfId="0" applyFont="1" applyBorder="1" applyAlignment="1">
      <alignment horizontal="left" vertical="center" wrapText="1"/>
    </xf>
    <xf numFmtId="44" fontId="57" fillId="0" borderId="2" xfId="1" applyFont="1" applyBorder="1" applyAlignment="1">
      <alignment horizontal="left" vertical="center" shrinkToFit="1"/>
    </xf>
    <xf numFmtId="1" fontId="58" fillId="0" borderId="2" xfId="0" applyNumberFormat="1" applyFont="1" applyBorder="1" applyAlignment="1">
      <alignment horizontal="center" vertical="center" shrinkToFit="1"/>
    </xf>
    <xf numFmtId="0" fontId="56" fillId="0" borderId="24" xfId="0" applyFont="1" applyBorder="1" applyAlignment="1">
      <alignment horizontal="center" vertical="center" wrapText="1"/>
    </xf>
    <xf numFmtId="0" fontId="52" fillId="0" borderId="24" xfId="0" applyFont="1" applyBorder="1" applyAlignment="1">
      <alignment horizontal="center" vertical="center" wrapText="1"/>
    </xf>
    <xf numFmtId="0" fontId="32" fillId="2" borderId="24" xfId="0" applyFont="1" applyFill="1" applyBorder="1" applyAlignment="1">
      <alignment horizontal="right" vertical="center" wrapText="1"/>
    </xf>
    <xf numFmtId="0" fontId="51" fillId="2" borderId="24" xfId="0" applyFont="1" applyFill="1" applyBorder="1" applyAlignment="1">
      <alignment horizontal="right" vertical="center" wrapText="1"/>
    </xf>
    <xf numFmtId="0" fontId="56" fillId="0" borderId="7" xfId="0" applyFont="1" applyBorder="1" applyAlignment="1">
      <alignment horizontal="center" vertical="center" wrapText="1"/>
    </xf>
    <xf numFmtId="44" fontId="57" fillId="0" borderId="7" xfId="1" applyFont="1" applyBorder="1" applyAlignment="1">
      <alignment horizontal="left" vertical="center" shrinkToFit="1"/>
    </xf>
    <xf numFmtId="1" fontId="58" fillId="0" borderId="7" xfId="0" applyNumberFormat="1" applyFont="1" applyBorder="1" applyAlignment="1">
      <alignment horizontal="center" vertical="center" shrinkToFit="1"/>
    </xf>
    <xf numFmtId="0" fontId="52" fillId="0" borderId="7" xfId="0" applyFont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right" vertical="center" wrapText="1"/>
    </xf>
    <xf numFmtId="44" fontId="58" fillId="0" borderId="2" xfId="1" applyFont="1" applyBorder="1" applyAlignment="1">
      <alignment horizontal="left" vertical="center" shrinkToFit="1"/>
    </xf>
    <xf numFmtId="0" fontId="40" fillId="0" borderId="0" xfId="0" applyFont="1" applyAlignment="1">
      <alignment horizontal="left" vertical="center"/>
    </xf>
    <xf numFmtId="0" fontId="54" fillId="7" borderId="24" xfId="0" applyFont="1" applyFill="1" applyBorder="1" applyAlignment="1">
      <alignment horizontal="center" vertical="center" wrapText="1"/>
    </xf>
    <xf numFmtId="44" fontId="55" fillId="7" borderId="7" xfId="1" applyFont="1" applyFill="1" applyBorder="1" applyAlignment="1">
      <alignment horizontal="left" vertical="center" shrinkToFit="1"/>
    </xf>
    <xf numFmtId="1" fontId="55" fillId="7" borderId="7" xfId="0" applyNumberFormat="1" applyFont="1" applyFill="1" applyBorder="1" applyAlignment="1">
      <alignment horizontal="center" vertical="center" shrinkToFit="1"/>
    </xf>
    <xf numFmtId="0" fontId="54" fillId="7" borderId="2" xfId="0" applyFont="1" applyFill="1" applyBorder="1" applyAlignment="1">
      <alignment horizontal="center" vertical="center" wrapText="1"/>
    </xf>
    <xf numFmtId="44" fontId="55" fillId="7" borderId="2" xfId="1" applyFont="1" applyFill="1" applyBorder="1" applyAlignment="1">
      <alignment horizontal="left" vertical="center" shrinkToFit="1"/>
    </xf>
    <xf numFmtId="1" fontId="55" fillId="7" borderId="2" xfId="0" applyNumberFormat="1" applyFont="1" applyFill="1" applyBorder="1" applyAlignment="1">
      <alignment horizontal="center" vertical="center" shrinkToFit="1"/>
    </xf>
    <xf numFmtId="0" fontId="60" fillId="8" borderId="2" xfId="0" applyFont="1" applyFill="1" applyBorder="1" applyAlignment="1">
      <alignment horizontal="center" vertical="center" wrapText="1"/>
    </xf>
    <xf numFmtId="44" fontId="60" fillId="8" borderId="24" xfId="1" applyFont="1" applyFill="1" applyBorder="1" applyAlignment="1">
      <alignment horizontal="left" vertical="center" shrinkToFit="1"/>
    </xf>
    <xf numFmtId="1" fontId="60" fillId="8" borderId="2" xfId="0" applyNumberFormat="1" applyFont="1" applyFill="1" applyBorder="1" applyAlignment="1">
      <alignment horizontal="center" vertical="center" shrinkToFit="1"/>
    </xf>
    <xf numFmtId="44" fontId="60" fillId="8" borderId="2" xfId="1" applyFont="1" applyFill="1" applyBorder="1" applyAlignment="1">
      <alignment horizontal="left" vertical="center" shrinkToFit="1"/>
    </xf>
    <xf numFmtId="0" fontId="60" fillId="0" borderId="12" xfId="0" applyFont="1" applyBorder="1" applyAlignment="1">
      <alignment horizontal="right" vertical="center" wrapText="1"/>
    </xf>
    <xf numFmtId="0" fontId="60" fillId="0" borderId="13" xfId="0" applyFont="1" applyBorder="1" applyAlignment="1">
      <alignment horizontal="right" vertical="center" wrapText="1"/>
    </xf>
    <xf numFmtId="0" fontId="60" fillId="0" borderId="2" xfId="0" applyFont="1" applyBorder="1" applyAlignment="1">
      <alignment horizontal="center" vertical="center" wrapText="1"/>
    </xf>
    <xf numFmtId="44" fontId="60" fillId="0" borderId="24" xfId="1" applyFont="1" applyFill="1" applyBorder="1" applyAlignment="1">
      <alignment horizontal="left" vertical="center" shrinkToFit="1"/>
    </xf>
    <xf numFmtId="1" fontId="60" fillId="0" borderId="2" xfId="0" applyNumberFormat="1" applyFont="1" applyBorder="1" applyAlignment="1">
      <alignment horizontal="center" vertical="center" shrinkToFit="1"/>
    </xf>
    <xf numFmtId="44" fontId="60" fillId="0" borderId="2" xfId="1" applyFont="1" applyFill="1" applyBorder="1" applyAlignment="1">
      <alignment horizontal="left" vertical="center" shrinkToFit="1"/>
    </xf>
    <xf numFmtId="10" fontId="60" fillId="0" borderId="24" xfId="0" applyNumberFormat="1" applyFont="1" applyBorder="1" applyAlignment="1">
      <alignment horizontal="center" vertical="center" shrinkToFit="1"/>
    </xf>
    <xf numFmtId="0" fontId="51" fillId="2" borderId="2" xfId="0" applyFont="1" applyFill="1" applyBorder="1" applyAlignment="1">
      <alignment horizontal="center" vertical="center" wrapText="1"/>
    </xf>
    <xf numFmtId="170" fontId="58" fillId="0" borderId="7" xfId="0" applyNumberFormat="1" applyFont="1" applyBorder="1" applyAlignment="1">
      <alignment horizontal="center" vertical="center" shrinkToFit="1"/>
    </xf>
    <xf numFmtId="170" fontId="55" fillId="7" borderId="7" xfId="0" applyNumberFormat="1" applyFont="1" applyFill="1" applyBorder="1" applyAlignment="1">
      <alignment horizontal="center" vertical="center" shrinkToFit="1"/>
    </xf>
    <xf numFmtId="170" fontId="60" fillId="8" borderId="7" xfId="0" applyNumberFormat="1" applyFont="1" applyFill="1" applyBorder="1" applyAlignment="1">
      <alignment horizontal="center" vertical="center" shrinkToFit="1"/>
    </xf>
    <xf numFmtId="44" fontId="57" fillId="0" borderId="7" xfId="1" applyFont="1" applyFill="1" applyBorder="1" applyAlignment="1">
      <alignment horizontal="left" vertical="center" shrinkToFit="1"/>
    </xf>
    <xf numFmtId="0" fontId="56" fillId="0" borderId="22" xfId="0" applyFont="1" applyBorder="1" applyAlignment="1">
      <alignment horizontal="right" vertical="center" wrapText="1"/>
    </xf>
    <xf numFmtId="44" fontId="57" fillId="0" borderId="3" xfId="1" applyFont="1" applyBorder="1" applyAlignment="1">
      <alignment horizontal="left" vertical="center" shrinkToFit="1"/>
    </xf>
    <xf numFmtId="9" fontId="14" fillId="0" borderId="2" xfId="0" applyNumberFormat="1" applyFont="1" applyBorder="1" applyAlignment="1">
      <alignment horizontal="center" vertical="center" wrapText="1"/>
    </xf>
    <xf numFmtId="9" fontId="14" fillId="0" borderId="2" xfId="2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4" fontId="14" fillId="0" borderId="2" xfId="1" applyFont="1" applyBorder="1" applyAlignment="1">
      <alignment horizontal="left" vertical="center" wrapText="1"/>
    </xf>
    <xf numFmtId="44" fontId="39" fillId="0" borderId="0" xfId="0" applyNumberFormat="1" applyFont="1" applyAlignment="1">
      <alignment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9" fontId="14" fillId="0" borderId="12" xfId="2" applyFont="1" applyBorder="1" applyAlignment="1">
      <alignment horizontal="center" vertical="center" wrapText="1"/>
    </xf>
    <xf numFmtId="9" fontId="14" fillId="0" borderId="2" xfId="1" applyNumberFormat="1" applyFont="1" applyBorder="1" applyAlignment="1">
      <alignment horizontal="center" vertical="center" wrapText="1"/>
    </xf>
    <xf numFmtId="44" fontId="20" fillId="4" borderId="2" xfId="0" applyNumberFormat="1" applyFont="1" applyFill="1" applyBorder="1"/>
    <xf numFmtId="44" fontId="20" fillId="4" borderId="2" xfId="1" applyFont="1" applyFill="1" applyBorder="1"/>
    <xf numFmtId="44" fontId="20" fillId="3" borderId="2" xfId="0" applyNumberFormat="1" applyFont="1" applyFill="1" applyBorder="1"/>
    <xf numFmtId="44" fontId="22" fillId="0" borderId="2" xfId="0" applyNumberFormat="1" applyFont="1" applyBorder="1" applyAlignment="1">
      <alignment horizontal="left" vertical="center"/>
    </xf>
    <xf numFmtId="9" fontId="0" fillId="0" borderId="0" xfId="0" applyNumberFormat="1"/>
    <xf numFmtId="9" fontId="56" fillId="0" borderId="2" xfId="0" applyNumberFormat="1" applyFont="1" applyBorder="1" applyAlignment="1">
      <alignment horizontal="center" vertical="center" wrapText="1"/>
    </xf>
    <xf numFmtId="164" fontId="24" fillId="0" borderId="0" xfId="0" applyNumberFormat="1" applyFont="1" applyAlignment="1">
      <alignment horizontal="right" vertical="center" shrinkToFit="1"/>
    </xf>
    <xf numFmtId="0" fontId="11" fillId="0" borderId="8" xfId="0" applyFont="1" applyBorder="1" applyAlignment="1">
      <alignment horizontal="left" vertical="center" wrapText="1"/>
    </xf>
    <xf numFmtId="4" fontId="24" fillId="2" borderId="18" xfId="0" applyNumberFormat="1" applyFont="1" applyFill="1" applyBorder="1" applyAlignment="1">
      <alignment horizontal="right" vertical="center" shrinkToFit="1"/>
    </xf>
    <xf numFmtId="10" fontId="36" fillId="0" borderId="2" xfId="0" applyNumberFormat="1" applyFont="1" applyBorder="1" applyAlignment="1">
      <alignment horizontal="center" vertical="center" shrinkToFit="1"/>
    </xf>
    <xf numFmtId="4" fontId="36" fillId="0" borderId="18" xfId="0" applyNumberFormat="1" applyFont="1" applyBorder="1" applyAlignment="1">
      <alignment horizontal="right" vertical="center" shrinkToFit="1"/>
    </xf>
    <xf numFmtId="2" fontId="36" fillId="0" borderId="18" xfId="0" applyNumberFormat="1" applyFont="1" applyBorder="1" applyAlignment="1">
      <alignment horizontal="right" vertical="center" shrinkToFit="1"/>
    </xf>
    <xf numFmtId="0" fontId="49" fillId="0" borderId="0" xfId="0" applyFont="1" applyAlignment="1">
      <alignment horizontal="center" vertical="center" wrapText="1"/>
    </xf>
    <xf numFmtId="9" fontId="36" fillId="0" borderId="0" xfId="0" applyNumberFormat="1" applyFont="1" applyAlignment="1">
      <alignment horizontal="center" vertical="center" shrinkToFit="1"/>
    </xf>
    <xf numFmtId="44" fontId="11" fillId="0" borderId="0" xfId="0" applyNumberFormat="1" applyFont="1" applyAlignment="1">
      <alignment vertical="center" wrapText="1"/>
    </xf>
    <xf numFmtId="44" fontId="36" fillId="0" borderId="18" xfId="1" applyFont="1" applyFill="1" applyBorder="1" applyAlignment="1">
      <alignment horizontal="left" vertical="center" shrinkToFit="1"/>
    </xf>
    <xf numFmtId="44" fontId="36" fillId="0" borderId="18" xfId="1" applyFont="1" applyBorder="1" applyAlignment="1">
      <alignment horizontal="left" vertical="center" shrinkToFit="1"/>
    </xf>
    <xf numFmtId="10" fontId="36" fillId="0" borderId="17" xfId="2" applyNumberFormat="1" applyFont="1" applyBorder="1" applyAlignment="1">
      <alignment horizontal="center" vertical="center" shrinkToFit="1"/>
    </xf>
    <xf numFmtId="9" fontId="36" fillId="0" borderId="2" xfId="0" applyNumberFormat="1" applyFont="1" applyBorder="1" applyAlignment="1">
      <alignment horizontal="center" vertical="center" shrinkToFit="1"/>
    </xf>
    <xf numFmtId="44" fontId="36" fillId="0" borderId="5" xfId="1" applyFont="1" applyFill="1" applyBorder="1" applyAlignment="1">
      <alignment horizontal="left" vertical="center" shrinkToFit="1"/>
    </xf>
    <xf numFmtId="44" fontId="36" fillId="0" borderId="2" xfId="1" applyFont="1" applyFill="1" applyBorder="1" applyAlignment="1">
      <alignment horizontal="left" vertical="center" shrinkToFit="1"/>
    </xf>
    <xf numFmtId="10" fontId="36" fillId="0" borderId="17" xfId="0" applyNumberFormat="1" applyFont="1" applyBorder="1" applyAlignment="1">
      <alignment horizontal="center" vertical="center" shrinkToFit="1"/>
    </xf>
    <xf numFmtId="0" fontId="50" fillId="0" borderId="2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right" vertical="center" wrapText="1"/>
    </xf>
    <xf numFmtId="0" fontId="14" fillId="0" borderId="7" xfId="0" applyFont="1" applyBorder="1" applyAlignment="1">
      <alignment horizontal="left" vertical="center" wrapText="1"/>
    </xf>
    <xf numFmtId="164" fontId="24" fillId="0" borderId="2" xfId="0" applyNumberFormat="1" applyFont="1" applyBorder="1" applyAlignment="1">
      <alignment horizontal="right" vertical="center" shrinkToFit="1"/>
    </xf>
    <xf numFmtId="164" fontId="24" fillId="7" borderId="2" xfId="0" applyNumberFormat="1" applyFont="1" applyFill="1" applyBorder="1" applyAlignment="1">
      <alignment horizontal="right" vertical="center" shrinkToFit="1"/>
    </xf>
    <xf numFmtId="44" fontId="24" fillId="7" borderId="18" xfId="1" applyFont="1" applyFill="1" applyBorder="1" applyAlignment="1">
      <alignment horizontal="left" vertical="center" shrinkToFit="1"/>
    </xf>
    <xf numFmtId="44" fontId="22" fillId="7" borderId="17" xfId="0" applyNumberFormat="1" applyFont="1" applyFill="1" applyBorder="1" applyAlignment="1">
      <alignment vertical="center" wrapText="1"/>
    </xf>
    <xf numFmtId="4" fontId="24" fillId="7" borderId="18" xfId="0" applyNumberFormat="1" applyFont="1" applyFill="1" applyBorder="1" applyAlignment="1">
      <alignment horizontal="right" vertical="center" shrinkToFit="1"/>
    </xf>
    <xf numFmtId="44" fontId="22" fillId="7" borderId="17" xfId="1" applyFont="1" applyFill="1" applyBorder="1" applyAlignment="1">
      <alignment horizontal="left" vertical="center" wrapText="1"/>
    </xf>
    <xf numFmtId="10" fontId="24" fillId="7" borderId="13" xfId="0" applyNumberFormat="1" applyFont="1" applyFill="1" applyBorder="1" applyAlignment="1">
      <alignment horizontal="center" vertical="center" shrinkToFit="1"/>
    </xf>
    <xf numFmtId="0" fontId="22" fillId="7" borderId="2" xfId="0" applyFont="1" applyFill="1" applyBorder="1" applyAlignment="1">
      <alignment horizontal="right" vertical="center" wrapText="1"/>
    </xf>
    <xf numFmtId="0" fontId="22" fillId="6" borderId="2" xfId="0" applyFont="1" applyFill="1" applyBorder="1" applyAlignment="1">
      <alignment horizontal="center" vertical="center" wrapText="1"/>
    </xf>
    <xf numFmtId="44" fontId="22" fillId="7" borderId="3" xfId="1" applyFont="1" applyFill="1" applyBorder="1" applyAlignment="1">
      <alignment horizontal="left" vertical="center" wrapText="1"/>
    </xf>
    <xf numFmtId="10" fontId="36" fillId="0" borderId="2" xfId="2" applyNumberFormat="1" applyFont="1" applyBorder="1" applyAlignment="1">
      <alignment horizontal="center" vertical="center" shrinkToFit="1"/>
    </xf>
    <xf numFmtId="44" fontId="22" fillId="7" borderId="2" xfId="1" applyFont="1" applyFill="1" applyBorder="1" applyAlignment="1">
      <alignment horizontal="left" vertical="center" wrapText="1"/>
    </xf>
    <xf numFmtId="44" fontId="16" fillId="0" borderId="18" xfId="1" applyFont="1" applyFill="1" applyBorder="1" applyAlignment="1">
      <alignment horizontal="left" vertical="center" shrinkToFit="1"/>
    </xf>
    <xf numFmtId="44" fontId="22" fillId="7" borderId="2" xfId="0" applyNumberFormat="1" applyFont="1" applyFill="1" applyBorder="1" applyAlignment="1">
      <alignment vertical="center" wrapText="1"/>
    </xf>
    <xf numFmtId="0" fontId="22" fillId="6" borderId="19" xfId="0" applyFont="1" applyFill="1" applyBorder="1" applyAlignment="1">
      <alignment horizontal="center" vertical="center" wrapText="1"/>
    </xf>
    <xf numFmtId="44" fontId="61" fillId="0" borderId="2" xfId="0" applyNumberFormat="1" applyFont="1" applyBorder="1" applyAlignment="1">
      <alignment vertical="center"/>
    </xf>
    <xf numFmtId="44" fontId="37" fillId="0" borderId="2" xfId="0" applyNumberFormat="1" applyFont="1" applyBorder="1" applyAlignment="1">
      <alignment horizontal="left" vertical="center"/>
    </xf>
    <xf numFmtId="44" fontId="22" fillId="0" borderId="0" xfId="1" applyFont="1" applyFill="1" applyBorder="1" applyAlignment="1">
      <alignment horizontal="left" vertical="center" wrapText="1"/>
    </xf>
    <xf numFmtId="10" fontId="47" fillId="5" borderId="2" xfId="0" applyNumberFormat="1" applyFont="1" applyFill="1" applyBorder="1" applyAlignment="1">
      <alignment horizontal="center" vertical="center" shrinkToFit="1"/>
    </xf>
    <xf numFmtId="44" fontId="47" fillId="5" borderId="2" xfId="1" applyFont="1" applyFill="1" applyBorder="1" applyAlignment="1">
      <alignment horizontal="left" vertical="center" shrinkToFit="1"/>
    </xf>
    <xf numFmtId="44" fontId="22" fillId="7" borderId="1" xfId="0" applyNumberFormat="1" applyFont="1" applyFill="1" applyBorder="1" applyAlignment="1">
      <alignment vertical="center" wrapText="1"/>
    </xf>
    <xf numFmtId="9" fontId="36" fillId="0" borderId="7" xfId="0" applyNumberFormat="1" applyFont="1" applyBorder="1" applyAlignment="1">
      <alignment horizontal="center" vertical="center" shrinkToFit="1"/>
    </xf>
    <xf numFmtId="44" fontId="22" fillId="5" borderId="2" xfId="1" applyFont="1" applyFill="1" applyBorder="1" applyAlignment="1">
      <alignment horizontal="left" vertical="center" shrinkToFit="1"/>
    </xf>
    <xf numFmtId="44" fontId="22" fillId="6" borderId="2" xfId="1" applyFont="1" applyFill="1" applyBorder="1" applyAlignment="1">
      <alignment horizontal="left" vertical="center" wrapText="1"/>
    </xf>
    <xf numFmtId="44" fontId="22" fillId="0" borderId="2" xfId="1" applyFont="1" applyFill="1" applyBorder="1" applyAlignment="1">
      <alignment horizontal="left" vertical="center" shrinkToFit="1"/>
    </xf>
    <xf numFmtId="44" fontId="36" fillId="2" borderId="2" xfId="1" applyFont="1" applyFill="1" applyBorder="1" applyAlignment="1">
      <alignment horizontal="left" vertical="center" shrinkToFit="1"/>
    </xf>
    <xf numFmtId="44" fontId="36" fillId="2" borderId="13" xfId="1" applyFont="1" applyFill="1" applyBorder="1" applyAlignment="1">
      <alignment horizontal="left" vertical="center" shrinkToFit="1"/>
    </xf>
    <xf numFmtId="44" fontId="22" fillId="7" borderId="1" xfId="1" applyFont="1" applyFill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3" fontId="24" fillId="9" borderId="17" xfId="0" applyNumberFormat="1" applyFont="1" applyFill="1" applyBorder="1" applyAlignment="1">
      <alignment horizontal="center" vertical="center" shrinkToFit="1"/>
    </xf>
    <xf numFmtId="3" fontId="24" fillId="9" borderId="2" xfId="0" applyNumberFormat="1" applyFont="1" applyFill="1" applyBorder="1" applyAlignment="1">
      <alignment horizontal="center" vertical="center" shrinkToFit="1"/>
    </xf>
    <xf numFmtId="164" fontId="24" fillId="9" borderId="2" xfId="0" applyNumberFormat="1" applyFont="1" applyFill="1" applyBorder="1" applyAlignment="1">
      <alignment horizontal="right" vertical="center" shrinkToFit="1"/>
    </xf>
    <xf numFmtId="3" fontId="24" fillId="9" borderId="1" xfId="0" applyNumberFormat="1" applyFont="1" applyFill="1" applyBorder="1" applyAlignment="1">
      <alignment horizontal="center" vertical="center" shrinkToFit="1"/>
    </xf>
    <xf numFmtId="164" fontId="24" fillId="10" borderId="2" xfId="0" applyNumberFormat="1" applyFont="1" applyFill="1" applyBorder="1" applyAlignment="1">
      <alignment horizontal="right" vertical="center" shrinkToFit="1"/>
    </xf>
    <xf numFmtId="10" fontId="24" fillId="10" borderId="17" xfId="0" applyNumberFormat="1" applyFont="1" applyFill="1" applyBorder="1" applyAlignment="1">
      <alignment horizontal="center" vertical="center" shrinkToFit="1"/>
    </xf>
    <xf numFmtId="10" fontId="24" fillId="10" borderId="2" xfId="0" applyNumberFormat="1" applyFont="1" applyFill="1" applyBorder="1" applyAlignment="1">
      <alignment horizontal="center" vertical="center" shrinkToFit="1"/>
    </xf>
    <xf numFmtId="10" fontId="24" fillId="10" borderId="1" xfId="0" applyNumberFormat="1" applyFont="1" applyFill="1" applyBorder="1" applyAlignment="1">
      <alignment horizontal="center" vertical="center" shrinkToFit="1"/>
    </xf>
    <xf numFmtId="9" fontId="12" fillId="11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 vertical="center"/>
    </xf>
    <xf numFmtId="2" fontId="51" fillId="0" borderId="2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0" fontId="57" fillId="0" borderId="2" xfId="0" applyNumberFormat="1" applyFont="1" applyBorder="1" applyAlignment="1">
      <alignment horizontal="center" vertical="center" shrinkToFit="1"/>
    </xf>
    <xf numFmtId="17" fontId="56" fillId="0" borderId="2" xfId="0" applyNumberFormat="1" applyFont="1" applyBorder="1" applyAlignment="1">
      <alignment horizontal="center" vertical="center" wrapText="1"/>
    </xf>
    <xf numFmtId="17" fontId="56" fillId="0" borderId="2" xfId="0" applyNumberFormat="1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17" fontId="11" fillId="0" borderId="2" xfId="0" applyNumberFormat="1" applyFont="1" applyBorder="1" applyAlignment="1">
      <alignment horizontal="center" vertical="center"/>
    </xf>
    <xf numFmtId="17" fontId="11" fillId="0" borderId="2" xfId="0" applyNumberFormat="1" applyFont="1" applyBorder="1" applyAlignment="1">
      <alignment horizontal="left" vertical="center"/>
    </xf>
    <xf numFmtId="9" fontId="11" fillId="0" borderId="2" xfId="2" applyFont="1" applyBorder="1" applyAlignment="1">
      <alignment horizontal="center" vertical="center"/>
    </xf>
    <xf numFmtId="10" fontId="11" fillId="0" borderId="2" xfId="2" applyNumberFormat="1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/>
    </xf>
    <xf numFmtId="9" fontId="11" fillId="0" borderId="24" xfId="2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20" fillId="0" borderId="0" xfId="0" applyFont="1" applyAlignment="1">
      <alignment vertical="center"/>
    </xf>
    <xf numFmtId="0" fontId="51" fillId="0" borderId="2" xfId="0" applyFont="1" applyBorder="1" applyAlignment="1">
      <alignment vertical="center" wrapText="1"/>
    </xf>
    <xf numFmtId="0" fontId="11" fillId="0" borderId="24" xfId="0" applyFont="1" applyBorder="1" applyAlignment="1">
      <alignment horizontal="left" vertical="center" wrapText="1"/>
    </xf>
    <xf numFmtId="0" fontId="51" fillId="0" borderId="24" xfId="0" applyFont="1" applyBorder="1" applyAlignment="1">
      <alignment vertical="center" wrapText="1"/>
    </xf>
    <xf numFmtId="0" fontId="56" fillId="0" borderId="24" xfId="0" applyFont="1" applyBorder="1" applyAlignment="1">
      <alignment horizontal="left" vertical="center" wrapText="1"/>
    </xf>
    <xf numFmtId="17" fontId="11" fillId="0" borderId="24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62" fillId="0" borderId="0" xfId="0" applyFont="1" applyAlignment="1">
      <alignment vertical="center"/>
    </xf>
    <xf numFmtId="10" fontId="37" fillId="4" borderId="2" xfId="0" applyNumberFormat="1" applyFont="1" applyFill="1" applyBorder="1" applyAlignment="1">
      <alignment horizontal="center" vertical="center"/>
    </xf>
    <xf numFmtId="0" fontId="37" fillId="12" borderId="2" xfId="0" applyFont="1" applyFill="1" applyBorder="1" applyAlignment="1">
      <alignment horizontal="center" vertical="center"/>
    </xf>
    <xf numFmtId="10" fontId="37" fillId="12" borderId="2" xfId="0" applyNumberFormat="1" applyFont="1" applyFill="1" applyBorder="1" applyAlignment="1">
      <alignment horizontal="center" vertical="center"/>
    </xf>
    <xf numFmtId="10" fontId="37" fillId="3" borderId="2" xfId="0" applyNumberFormat="1" applyFont="1" applyFill="1" applyBorder="1" applyAlignment="1">
      <alignment horizontal="center" vertical="center"/>
    </xf>
    <xf numFmtId="10" fontId="11" fillId="3" borderId="2" xfId="0" applyNumberFormat="1" applyFont="1" applyFill="1" applyBorder="1" applyAlignment="1">
      <alignment horizontal="center" vertical="center"/>
    </xf>
    <xf numFmtId="0" fontId="37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37" fillId="4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5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top" wrapText="1"/>
    </xf>
    <xf numFmtId="0" fontId="26" fillId="0" borderId="24" xfId="3" applyFont="1" applyBorder="1" applyAlignment="1">
      <alignment horizontal="right" vertical="center" wrapText="1"/>
    </xf>
    <xf numFmtId="0" fontId="12" fillId="4" borderId="2" xfId="3" applyFont="1" applyFill="1" applyBorder="1" applyAlignment="1">
      <alignment horizontal="right" vertical="center" wrapText="1"/>
    </xf>
    <xf numFmtId="0" fontId="12" fillId="4" borderId="7" xfId="3" applyFont="1" applyFill="1" applyBorder="1" applyAlignment="1">
      <alignment horizontal="right" vertical="center" wrapText="1"/>
    </xf>
    <xf numFmtId="0" fontId="26" fillId="0" borderId="2" xfId="3" applyFont="1" applyBorder="1" applyAlignment="1">
      <alignment horizontal="right" vertical="center" wrapText="1"/>
    </xf>
    <xf numFmtId="0" fontId="12" fillId="4" borderId="24" xfId="3" applyFont="1" applyFill="1" applyBorder="1" applyAlignment="1">
      <alignment horizontal="right" vertical="center" wrapText="1"/>
    </xf>
    <xf numFmtId="0" fontId="12" fillId="3" borderId="2" xfId="3" applyFont="1" applyFill="1" applyBorder="1" applyAlignment="1">
      <alignment horizontal="center" vertical="center" wrapText="1"/>
    </xf>
    <xf numFmtId="0" fontId="12" fillId="4" borderId="12" xfId="3" applyFont="1" applyFill="1" applyBorder="1" applyAlignment="1">
      <alignment horizontal="right" vertical="center" wrapText="1"/>
    </xf>
    <xf numFmtId="0" fontId="12" fillId="4" borderId="11" xfId="3" applyFont="1" applyFill="1" applyBorder="1" applyAlignment="1">
      <alignment horizontal="right" vertical="center" wrapText="1"/>
    </xf>
    <xf numFmtId="0" fontId="12" fillId="4" borderId="13" xfId="3" applyFont="1" applyFill="1" applyBorder="1" applyAlignment="1">
      <alignment horizontal="right" vertical="center" wrapText="1"/>
    </xf>
    <xf numFmtId="0" fontId="12" fillId="4" borderId="17" xfId="3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center" vertical="center" wrapText="1"/>
    </xf>
    <xf numFmtId="0" fontId="12" fillId="4" borderId="18" xfId="3" applyFont="1" applyFill="1" applyBorder="1" applyAlignment="1">
      <alignment horizontal="center" vertical="center" wrapText="1"/>
    </xf>
    <xf numFmtId="0" fontId="27" fillId="0" borderId="4" xfId="3" applyFont="1" applyBorder="1" applyAlignment="1">
      <alignment horizontal="left" wrapText="1"/>
    </xf>
    <xf numFmtId="0" fontId="32" fillId="4" borderId="14" xfId="3" applyFont="1" applyFill="1" applyBorder="1" applyAlignment="1">
      <alignment horizontal="right" vertical="center" wrapText="1"/>
    </xf>
    <xf numFmtId="0" fontId="32" fillId="4" borderId="10" xfId="3" applyFont="1" applyFill="1" applyBorder="1" applyAlignment="1">
      <alignment horizontal="right" vertical="center" wrapText="1"/>
    </xf>
    <xf numFmtId="0" fontId="12" fillId="4" borderId="6" xfId="3" applyFont="1" applyFill="1" applyBorder="1" applyAlignment="1">
      <alignment horizontal="right" vertical="center" wrapText="1"/>
    </xf>
    <xf numFmtId="0" fontId="12" fillId="4" borderId="0" xfId="3" applyFont="1" applyFill="1" applyAlignment="1">
      <alignment horizontal="right" vertical="center" wrapText="1"/>
    </xf>
    <xf numFmtId="0" fontId="30" fillId="4" borderId="12" xfId="3" applyFont="1" applyFill="1" applyBorder="1" applyAlignment="1">
      <alignment horizontal="right" vertical="center" wrapText="1"/>
    </xf>
    <xf numFmtId="0" fontId="30" fillId="4" borderId="11" xfId="3" applyFont="1" applyFill="1" applyBorder="1" applyAlignment="1">
      <alignment horizontal="right" vertical="center" wrapText="1"/>
    </xf>
    <xf numFmtId="0" fontId="30" fillId="4" borderId="13" xfId="3" applyFont="1" applyFill="1" applyBorder="1" applyAlignment="1">
      <alignment horizontal="right" vertical="center" wrapText="1"/>
    </xf>
    <xf numFmtId="0" fontId="25" fillId="3" borderId="2" xfId="3" applyFont="1" applyFill="1" applyBorder="1" applyAlignment="1">
      <alignment horizontal="center" vertical="center" wrapText="1"/>
    </xf>
    <xf numFmtId="0" fontId="12" fillId="0" borderId="26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27" fillId="0" borderId="0" xfId="3" applyFont="1" applyAlignment="1">
      <alignment horizontal="left" vertical="center" wrapText="1"/>
    </xf>
    <xf numFmtId="0" fontId="27" fillId="0" borderId="20" xfId="3" applyFont="1" applyBorder="1" applyAlignment="1">
      <alignment horizontal="left" vertical="center" wrapText="1"/>
    </xf>
    <xf numFmtId="0" fontId="39" fillId="4" borderId="2" xfId="3" applyFont="1" applyFill="1" applyBorder="1" applyAlignment="1">
      <alignment horizontal="right" vertical="center" wrapText="1"/>
    </xf>
    <xf numFmtId="0" fontId="41" fillId="4" borderId="2" xfId="3" applyFont="1" applyFill="1" applyBorder="1" applyAlignment="1">
      <alignment horizontal="right" vertical="center" wrapText="1"/>
    </xf>
    <xf numFmtId="0" fontId="12" fillId="4" borderId="2" xfId="3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right" vertical="center" wrapText="1"/>
    </xf>
    <xf numFmtId="0" fontId="25" fillId="4" borderId="2" xfId="3" applyFont="1" applyFill="1" applyBorder="1" applyAlignment="1">
      <alignment horizontal="right" vertical="center" wrapText="1"/>
    </xf>
    <xf numFmtId="0" fontId="14" fillId="0" borderId="24" xfId="0" applyFont="1" applyBorder="1" applyAlignment="1">
      <alignment horizontal="right" vertical="center" wrapText="1"/>
    </xf>
    <xf numFmtId="0" fontId="30" fillId="4" borderId="2" xfId="3" applyFont="1" applyFill="1" applyBorder="1" applyAlignment="1">
      <alignment horizontal="right" vertical="center" wrapText="1"/>
    </xf>
    <xf numFmtId="0" fontId="12" fillId="3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/>
    </xf>
    <xf numFmtId="0" fontId="43" fillId="4" borderId="2" xfId="3" applyFont="1" applyFill="1" applyBorder="1" applyAlignment="1">
      <alignment horizontal="right" vertical="center" wrapText="1"/>
    </xf>
    <xf numFmtId="0" fontId="26" fillId="0" borderId="12" xfId="3" applyFont="1" applyBorder="1" applyAlignment="1">
      <alignment horizontal="right" vertical="center" wrapText="1"/>
    </xf>
    <xf numFmtId="0" fontId="26" fillId="0" borderId="13" xfId="3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39" fillId="0" borderId="2" xfId="3" applyFont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right" vertical="center" wrapText="1"/>
    </xf>
    <xf numFmtId="0" fontId="14" fillId="0" borderId="29" xfId="0" applyFont="1" applyBorder="1" applyAlignment="1">
      <alignment horizontal="right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right" vertical="center" wrapText="1"/>
    </xf>
    <xf numFmtId="0" fontId="14" fillId="0" borderId="13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top" wrapText="1"/>
    </xf>
    <xf numFmtId="0" fontId="22" fillId="0" borderId="24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right" vertical="center" wrapText="1" indent="1"/>
    </xf>
    <xf numFmtId="0" fontId="12" fillId="0" borderId="2" xfId="0" applyFont="1" applyBorder="1" applyAlignment="1">
      <alignment horizontal="right" vertical="center" wrapText="1" indent="1"/>
    </xf>
    <xf numFmtId="0" fontId="43" fillId="0" borderId="2" xfId="0" applyFont="1" applyBorder="1" applyAlignment="1">
      <alignment horizontal="righ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43" fillId="0" borderId="12" xfId="0" applyFont="1" applyBorder="1" applyAlignment="1">
      <alignment horizontal="right" vertical="center" wrapText="1"/>
    </xf>
    <xf numFmtId="0" fontId="43" fillId="0" borderId="13" xfId="0" applyFont="1" applyBorder="1" applyAlignment="1">
      <alignment horizontal="right" vertical="center" wrapText="1"/>
    </xf>
    <xf numFmtId="0" fontId="11" fillId="0" borderId="2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right" vertical="center" wrapText="1"/>
    </xf>
    <xf numFmtId="0" fontId="12" fillId="0" borderId="28" xfId="0" applyFont="1" applyBorder="1" applyAlignment="1">
      <alignment horizontal="right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 indent="1"/>
    </xf>
    <xf numFmtId="0" fontId="43" fillId="3" borderId="2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horizontal="center" vertical="center" shrinkToFit="1"/>
    </xf>
    <xf numFmtId="0" fontId="45" fillId="4" borderId="2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39" fillId="4" borderId="2" xfId="0" applyFont="1" applyFill="1" applyBorder="1" applyAlignment="1">
      <alignment horizontal="center" vertical="center" wrapText="1"/>
    </xf>
    <xf numFmtId="10" fontId="48" fillId="4" borderId="2" xfId="0" applyNumberFormat="1" applyFont="1" applyFill="1" applyBorder="1" applyAlignment="1">
      <alignment horizontal="center" vertical="center" shrinkToFi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30" fillId="2" borderId="17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32" fillId="2" borderId="12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32" fillId="2" borderId="13" xfId="0" applyFont="1" applyFill="1" applyBorder="1" applyAlignment="1">
      <alignment horizontal="center" vertical="center" wrapText="1"/>
    </xf>
    <xf numFmtId="0" fontId="14" fillId="0" borderId="12" xfId="3" applyFont="1" applyBorder="1" applyAlignment="1">
      <alignment horizontal="right" vertical="center" wrapText="1"/>
    </xf>
    <xf numFmtId="0" fontId="14" fillId="0" borderId="13" xfId="3" applyFont="1" applyBorder="1" applyAlignment="1">
      <alignment horizontal="right" vertical="center" wrapText="1"/>
    </xf>
    <xf numFmtId="0" fontId="59" fillId="7" borderId="12" xfId="0" applyFont="1" applyFill="1" applyBorder="1" applyAlignment="1">
      <alignment horizontal="right" vertical="center" wrapText="1"/>
    </xf>
    <xf numFmtId="0" fontId="59" fillId="7" borderId="13" xfId="0" applyFont="1" applyFill="1" applyBorder="1" applyAlignment="1">
      <alignment horizontal="right" vertical="center" wrapText="1"/>
    </xf>
    <xf numFmtId="0" fontId="60" fillId="8" borderId="12" xfId="0" applyFont="1" applyFill="1" applyBorder="1" applyAlignment="1">
      <alignment horizontal="right" vertical="center" wrapText="1"/>
    </xf>
    <xf numFmtId="0" fontId="60" fillId="8" borderId="13" xfId="0" applyFont="1" applyFill="1" applyBorder="1" applyAlignment="1">
      <alignment horizontal="right" vertical="center" wrapText="1"/>
    </xf>
    <xf numFmtId="44" fontId="57" fillId="0" borderId="3" xfId="1" applyFont="1" applyBorder="1" applyAlignment="1">
      <alignment horizontal="left" vertical="center" shrinkToFit="1"/>
    </xf>
    <xf numFmtId="44" fontId="57" fillId="0" borderId="4" xfId="1" applyFont="1" applyBorder="1" applyAlignment="1">
      <alignment horizontal="left" vertical="center" shrinkToFit="1"/>
    </xf>
    <xf numFmtId="44" fontId="57" fillId="0" borderId="5" xfId="1" applyFont="1" applyBorder="1" applyAlignment="1">
      <alignment horizontal="left" vertical="center" shrinkToFit="1"/>
    </xf>
    <xf numFmtId="0" fontId="56" fillId="0" borderId="2" xfId="0" applyFont="1" applyBorder="1" applyAlignment="1">
      <alignment horizontal="center" vertical="center" wrapText="1"/>
    </xf>
    <xf numFmtId="44" fontId="53" fillId="2" borderId="12" xfId="1" applyFont="1" applyFill="1" applyBorder="1" applyAlignment="1">
      <alignment horizontal="center" vertical="center" shrinkToFit="1"/>
    </xf>
    <xf numFmtId="44" fontId="53" fillId="2" borderId="11" xfId="1" applyFont="1" applyFill="1" applyBorder="1" applyAlignment="1">
      <alignment horizontal="center" vertical="center" shrinkToFit="1"/>
    </xf>
    <xf numFmtId="44" fontId="53" fillId="2" borderId="13" xfId="1" applyFont="1" applyFill="1" applyBorder="1" applyAlignment="1">
      <alignment horizontal="center" vertical="center" shrinkToFit="1"/>
    </xf>
    <xf numFmtId="0" fontId="51" fillId="2" borderId="12" xfId="0" applyFont="1" applyFill="1" applyBorder="1" applyAlignment="1">
      <alignment horizontal="center" vertical="center" wrapText="1"/>
    </xf>
    <xf numFmtId="0" fontId="51" fillId="2" borderId="11" xfId="0" applyFont="1" applyFill="1" applyBorder="1" applyAlignment="1">
      <alignment horizontal="center" vertical="center" wrapText="1"/>
    </xf>
    <xf numFmtId="0" fontId="51" fillId="2" borderId="1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6" fillId="0" borderId="17" xfId="0" applyFont="1" applyBorder="1" applyAlignment="1">
      <alignment horizontal="left" vertical="center" wrapText="1"/>
    </xf>
    <xf numFmtId="0" fontId="56" fillId="0" borderId="18" xfId="0" applyFont="1" applyBorder="1" applyAlignment="1">
      <alignment horizontal="left" vertical="center" wrapText="1"/>
    </xf>
    <xf numFmtId="0" fontId="51" fillId="2" borderId="17" xfId="0" applyFont="1" applyFill="1" applyBorder="1" applyAlignment="1">
      <alignment horizontal="left" vertical="center" wrapText="1"/>
    </xf>
    <xf numFmtId="0" fontId="51" fillId="2" borderId="18" xfId="0" applyFont="1" applyFill="1" applyBorder="1" applyAlignment="1">
      <alignment horizontal="left" vertical="center" wrapText="1"/>
    </xf>
    <xf numFmtId="0" fontId="51" fillId="2" borderId="17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horizontal="center" vertical="center" wrapText="1"/>
    </xf>
    <xf numFmtId="0" fontId="51" fillId="2" borderId="18" xfId="0" applyFont="1" applyFill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44" fontId="57" fillId="0" borderId="17" xfId="1" applyFont="1" applyBorder="1" applyAlignment="1">
      <alignment horizontal="left" vertical="center" shrinkToFit="1"/>
    </xf>
    <xf numFmtId="44" fontId="57" fillId="0" borderId="1" xfId="1" applyFont="1" applyBorder="1" applyAlignment="1">
      <alignment horizontal="left" vertical="center" shrinkToFit="1"/>
    </xf>
    <xf numFmtId="44" fontId="57" fillId="0" borderId="18" xfId="1" applyFont="1" applyBorder="1" applyAlignment="1">
      <alignment horizontal="left" vertical="center" shrinkToFit="1"/>
    </xf>
    <xf numFmtId="0" fontId="51" fillId="3" borderId="12" xfId="0" applyFont="1" applyFill="1" applyBorder="1" applyAlignment="1">
      <alignment horizontal="center" vertical="center" wrapText="1"/>
    </xf>
    <xf numFmtId="0" fontId="51" fillId="3" borderId="11" xfId="0" applyFont="1" applyFill="1" applyBorder="1" applyAlignment="1">
      <alignment horizontal="center" vertical="center" wrapText="1"/>
    </xf>
    <xf numFmtId="0" fontId="51" fillId="3" borderId="13" xfId="0" applyFont="1" applyFill="1" applyBorder="1" applyAlignment="1">
      <alignment horizontal="center" vertical="center" wrapText="1"/>
    </xf>
    <xf numFmtId="0" fontId="37" fillId="2" borderId="12" xfId="0" applyFont="1" applyFill="1" applyBorder="1" applyAlignment="1">
      <alignment horizontal="right" vertical="center" wrapText="1"/>
    </xf>
    <xf numFmtId="0" fontId="37" fillId="2" borderId="11" xfId="0" applyFont="1" applyFill="1" applyBorder="1" applyAlignment="1">
      <alignment horizontal="right" vertical="center" wrapText="1"/>
    </xf>
    <xf numFmtId="0" fontId="37" fillId="2" borderId="13" xfId="0" applyFont="1" applyFill="1" applyBorder="1" applyAlignment="1">
      <alignment horizontal="right" vertical="center" wrapText="1"/>
    </xf>
    <xf numFmtId="44" fontId="11" fillId="2" borderId="12" xfId="1" applyFont="1" applyFill="1" applyBorder="1" applyAlignment="1">
      <alignment horizontal="left" vertical="center" wrapText="1"/>
    </xf>
    <xf numFmtId="44" fontId="11" fillId="2" borderId="11" xfId="1" applyFont="1" applyFill="1" applyBorder="1" applyAlignment="1">
      <alignment horizontal="left" vertical="center" wrapText="1"/>
    </xf>
    <xf numFmtId="44" fontId="11" fillId="2" borderId="13" xfId="1" applyFont="1" applyFill="1" applyBorder="1" applyAlignment="1">
      <alignment horizontal="left" vertical="center" wrapText="1"/>
    </xf>
    <xf numFmtId="0" fontId="51" fillId="4" borderId="12" xfId="0" applyFont="1" applyFill="1" applyBorder="1" applyAlignment="1">
      <alignment horizontal="center" vertical="center" wrapText="1"/>
    </xf>
    <xf numFmtId="0" fontId="51" fillId="4" borderId="11" xfId="0" applyFont="1" applyFill="1" applyBorder="1" applyAlignment="1">
      <alignment horizontal="center" vertical="center" wrapText="1"/>
    </xf>
    <xf numFmtId="0" fontId="51" fillId="4" borderId="13" xfId="0" applyFont="1" applyFill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 wrapText="1"/>
    </xf>
    <xf numFmtId="0" fontId="59" fillId="0" borderId="13" xfId="0" applyFont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10" borderId="2" xfId="0" applyFont="1" applyFill="1" applyBorder="1" applyAlignment="1">
      <alignment horizontal="left" vertical="center" wrapText="1"/>
    </xf>
    <xf numFmtId="0" fontId="11" fillId="10" borderId="2" xfId="0" applyFont="1" applyFill="1" applyBorder="1" applyAlignment="1">
      <alignment horizontal="left" vertical="center" wrapText="1"/>
    </xf>
    <xf numFmtId="0" fontId="22" fillId="5" borderId="17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2" fillId="5" borderId="18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left" vertical="center" wrapText="1"/>
    </xf>
    <xf numFmtId="0" fontId="22" fillId="7" borderId="2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 wrapText="1"/>
    </xf>
    <xf numFmtId="0" fontId="22" fillId="5" borderId="12" xfId="0" applyFont="1" applyFill="1" applyBorder="1" applyAlignment="1">
      <alignment horizontal="left" vertical="center" wrapText="1"/>
    </xf>
    <xf numFmtId="0" fontId="22" fillId="5" borderId="11" xfId="0" applyFont="1" applyFill="1" applyBorder="1" applyAlignment="1">
      <alignment horizontal="left" vertical="center" wrapText="1"/>
    </xf>
    <xf numFmtId="0" fontId="22" fillId="9" borderId="2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37" fillId="4" borderId="12" xfId="0" applyFont="1" applyFill="1" applyBorder="1" applyAlignment="1">
      <alignment horizontal="center" vertical="center"/>
    </xf>
    <xf numFmtId="0" fontId="37" fillId="4" borderId="11" xfId="0" applyFont="1" applyFill="1" applyBorder="1" applyAlignment="1">
      <alignment horizontal="center" vertical="center"/>
    </xf>
    <xf numFmtId="0" fontId="37" fillId="4" borderId="13" xfId="0" applyFont="1" applyFill="1" applyBorder="1" applyAlignment="1">
      <alignment horizontal="center" vertical="center"/>
    </xf>
    <xf numFmtId="0" fontId="37" fillId="3" borderId="12" xfId="0" applyFont="1" applyFill="1" applyBorder="1" applyAlignment="1">
      <alignment horizontal="right" vertical="center" wrapText="1"/>
    </xf>
    <xf numFmtId="0" fontId="37" fillId="3" borderId="11" xfId="0" applyFont="1" applyFill="1" applyBorder="1" applyAlignment="1">
      <alignment horizontal="right" vertical="center" wrapText="1"/>
    </xf>
    <xf numFmtId="0" fontId="37" fillId="3" borderId="13" xfId="0" applyFont="1" applyFill="1" applyBorder="1" applyAlignment="1">
      <alignment horizontal="right" vertical="center" wrapText="1"/>
    </xf>
    <xf numFmtId="0" fontId="37" fillId="12" borderId="2" xfId="0" applyFont="1" applyFill="1" applyBorder="1" applyAlignment="1">
      <alignment horizontal="center" vertical="center"/>
    </xf>
    <xf numFmtId="0" fontId="37" fillId="3" borderId="2" xfId="0" applyFont="1" applyFill="1" applyBorder="1" applyAlignment="1">
      <alignment horizontal="right" vertical="center"/>
    </xf>
    <xf numFmtId="0" fontId="37" fillId="0" borderId="2" xfId="0" applyFont="1" applyBorder="1" applyAlignment="1">
      <alignment horizontal="center" vertical="center"/>
    </xf>
    <xf numFmtId="17" fontId="11" fillId="0" borderId="24" xfId="0" applyNumberFormat="1" applyFont="1" applyBorder="1" applyAlignment="1">
      <alignment horizontal="center" vertical="center"/>
    </xf>
    <xf numFmtId="17" fontId="11" fillId="0" borderId="25" xfId="0" applyNumberFormat="1" applyFont="1" applyBorder="1" applyAlignment="1">
      <alignment horizontal="center" vertical="center"/>
    </xf>
    <xf numFmtId="17" fontId="11" fillId="0" borderId="7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56" fillId="0" borderId="24" xfId="0" applyFont="1" applyBorder="1" applyAlignment="1">
      <alignment horizontal="center" vertical="center" wrapText="1"/>
    </xf>
    <xf numFmtId="0" fontId="56" fillId="0" borderId="2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37" fillId="3" borderId="2" xfId="0" applyFont="1" applyFill="1" applyBorder="1" applyAlignment="1">
      <alignment horizontal="left" vertical="center"/>
    </xf>
  </cellXfs>
  <cellStyles count="4">
    <cellStyle name="Moeda" xfId="1" builtinId="4"/>
    <cellStyle name="Normal" xfId="0" builtinId="0"/>
    <cellStyle name="Normal 2" xfId="3" xr:uid="{1595189C-1240-4DB7-97B6-AF5F7D160795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8007-BB83-4AB8-8E10-C9C18377AC63}">
  <dimension ref="A1:C12"/>
  <sheetViews>
    <sheetView tabSelected="1" view="pageLayout" topLeftCell="A2" zoomScale="145" zoomScaleNormal="100" zoomScalePageLayoutView="145" workbookViewId="0">
      <selection activeCell="C14" sqref="C14"/>
    </sheetView>
  </sheetViews>
  <sheetFormatPr defaultRowHeight="15" x14ac:dyDescent="0.25"/>
  <cols>
    <col min="1" max="1" width="6" style="2" bestFit="1" customWidth="1"/>
    <col min="2" max="2" width="15.42578125" style="1" bestFit="1" customWidth="1"/>
    <col min="3" max="3" width="77.140625" customWidth="1"/>
  </cols>
  <sheetData>
    <row r="1" spans="1:3" x14ac:dyDescent="0.25">
      <c r="A1" s="383" t="s">
        <v>0</v>
      </c>
      <c r="B1" s="383"/>
      <c r="C1" s="383"/>
    </row>
    <row r="2" spans="1:3" s="2" customFormat="1" x14ac:dyDescent="0.25">
      <c r="A2" s="3" t="s">
        <v>1</v>
      </c>
      <c r="B2" s="3" t="s">
        <v>2</v>
      </c>
      <c r="C2" s="3" t="s">
        <v>3</v>
      </c>
    </row>
    <row r="3" spans="1:3" s="8" customFormat="1" ht="18" x14ac:dyDescent="0.25">
      <c r="A3" s="4">
        <v>1</v>
      </c>
      <c r="B3" s="5" t="s">
        <v>4</v>
      </c>
      <c r="C3" s="6" t="s">
        <v>17</v>
      </c>
    </row>
    <row r="4" spans="1:3" s="8" customFormat="1" ht="27" x14ac:dyDescent="0.25">
      <c r="A4" s="4">
        <v>2</v>
      </c>
      <c r="B4" s="5" t="s">
        <v>5</v>
      </c>
      <c r="C4" s="6" t="s">
        <v>621</v>
      </c>
    </row>
    <row r="5" spans="1:3" s="8" customFormat="1" x14ac:dyDescent="0.25">
      <c r="A5" s="4">
        <v>3</v>
      </c>
      <c r="B5" s="5" t="s">
        <v>6</v>
      </c>
      <c r="C5" s="6" t="s">
        <v>620</v>
      </c>
    </row>
    <row r="6" spans="1:3" s="8" customFormat="1" x14ac:dyDescent="0.25">
      <c r="A6" s="4">
        <v>4</v>
      </c>
      <c r="B6" s="5" t="s">
        <v>7</v>
      </c>
      <c r="C6" s="5" t="s">
        <v>8</v>
      </c>
    </row>
    <row r="7" spans="1:3" s="8" customFormat="1" ht="15" customHeight="1" x14ac:dyDescent="0.25">
      <c r="A7" s="4">
        <v>5</v>
      </c>
      <c r="B7" s="5" t="s">
        <v>9</v>
      </c>
      <c r="C7" s="5" t="s">
        <v>10</v>
      </c>
    </row>
    <row r="8" spans="1:3" s="8" customFormat="1" ht="15" customHeight="1" x14ac:dyDescent="0.25">
      <c r="A8" s="4">
        <v>6</v>
      </c>
      <c r="B8" s="5" t="s">
        <v>11</v>
      </c>
      <c r="C8" s="5" t="s">
        <v>10</v>
      </c>
    </row>
    <row r="9" spans="1:3" s="8" customFormat="1" ht="15" customHeight="1" x14ac:dyDescent="0.25">
      <c r="A9" s="4">
        <v>7</v>
      </c>
      <c r="B9" s="5" t="s">
        <v>12</v>
      </c>
      <c r="C9" s="6" t="s">
        <v>18</v>
      </c>
    </row>
    <row r="10" spans="1:3" s="8" customFormat="1" ht="30" customHeight="1" x14ac:dyDescent="0.25">
      <c r="A10" s="4">
        <v>8</v>
      </c>
      <c r="B10" s="5" t="s">
        <v>13</v>
      </c>
      <c r="C10" s="7" t="s">
        <v>14</v>
      </c>
    </row>
    <row r="11" spans="1:3" s="8" customFormat="1" ht="30" customHeight="1" x14ac:dyDescent="0.25">
      <c r="A11" s="4">
        <v>9</v>
      </c>
      <c r="B11" s="5" t="s">
        <v>15</v>
      </c>
      <c r="C11" s="6" t="s">
        <v>19</v>
      </c>
    </row>
    <row r="12" spans="1:3" s="8" customFormat="1" ht="30" customHeight="1" x14ac:dyDescent="0.25">
      <c r="A12" s="4">
        <v>10</v>
      </c>
      <c r="B12" s="6" t="s">
        <v>16</v>
      </c>
      <c r="C12" s="6" t="s">
        <v>619</v>
      </c>
    </row>
  </sheetData>
  <mergeCells count="1">
    <mergeCell ref="A1:C1"/>
  </mergeCell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AE25-C4CE-4A81-B13A-04D88F0906CD}">
  <dimension ref="A1:H52"/>
  <sheetViews>
    <sheetView view="pageLayout" zoomScaleNormal="100" workbookViewId="0">
      <selection activeCell="E49" sqref="E49"/>
    </sheetView>
  </sheetViews>
  <sheetFormatPr defaultRowHeight="15" x14ac:dyDescent="0.25"/>
  <cols>
    <col min="1" max="1" width="4.140625" style="2" customWidth="1"/>
    <col min="2" max="2" width="43.140625" style="2" customWidth="1"/>
    <col min="3" max="3" width="9.140625" style="2"/>
    <col min="4" max="4" width="2.28515625" style="2" customWidth="1"/>
    <col min="5" max="5" width="20.140625" style="2" bestFit="1" customWidth="1"/>
    <col min="6" max="6" width="5.5703125" style="2" bestFit="1" customWidth="1"/>
    <col min="7" max="7" width="6.5703125" style="2" customWidth="1"/>
    <col min="8" max="8" width="7.28515625" style="2" customWidth="1"/>
  </cols>
  <sheetData>
    <row r="1" spans="1:8" ht="22.5" customHeight="1" x14ac:dyDescent="0.25">
      <c r="A1" s="515" t="s">
        <v>390</v>
      </c>
      <c r="B1" s="516"/>
      <c r="C1" s="516"/>
      <c r="D1" s="516"/>
      <c r="E1" s="516"/>
      <c r="F1" s="516"/>
      <c r="G1" s="516"/>
      <c r="H1" s="517"/>
    </row>
    <row r="2" spans="1:8" x14ac:dyDescent="0.25">
      <c r="A2" s="518"/>
      <c r="B2" s="518"/>
      <c r="C2" s="518"/>
      <c r="D2" s="518"/>
      <c r="E2" s="518"/>
      <c r="F2" s="518"/>
      <c r="G2" s="518"/>
      <c r="H2" s="518"/>
    </row>
    <row r="3" spans="1:8" x14ac:dyDescent="0.25">
      <c r="A3" s="519" t="s">
        <v>307</v>
      </c>
      <c r="B3" s="520"/>
      <c r="C3" s="521"/>
      <c r="D3" s="522"/>
      <c r="E3" s="519" t="s">
        <v>308</v>
      </c>
      <c r="F3" s="520"/>
      <c r="G3" s="520"/>
      <c r="H3" s="521"/>
    </row>
    <row r="4" spans="1:8" x14ac:dyDescent="0.25">
      <c r="A4" s="507" t="s">
        <v>309</v>
      </c>
      <c r="B4" s="523"/>
      <c r="C4" s="508"/>
      <c r="D4" s="522"/>
      <c r="E4" s="190"/>
      <c r="F4" s="191" t="s">
        <v>310</v>
      </c>
      <c r="G4" s="191" t="s">
        <v>311</v>
      </c>
      <c r="H4" s="192" t="s">
        <v>310</v>
      </c>
    </row>
    <row r="5" spans="1:8" x14ac:dyDescent="0.25">
      <c r="A5" s="511"/>
      <c r="B5" s="512"/>
      <c r="C5" s="513"/>
      <c r="D5" s="522"/>
      <c r="E5" s="187" t="s">
        <v>310</v>
      </c>
      <c r="F5" s="86">
        <v>365</v>
      </c>
      <c r="G5" s="89"/>
      <c r="H5" s="182">
        <v>365</v>
      </c>
    </row>
    <row r="6" spans="1:8" x14ac:dyDescent="0.25">
      <c r="A6" s="137" t="s">
        <v>312</v>
      </c>
      <c r="B6" s="194" t="s">
        <v>384</v>
      </c>
      <c r="C6" s="137" t="s">
        <v>313</v>
      </c>
      <c r="D6" s="522"/>
      <c r="E6" s="187" t="s">
        <v>314</v>
      </c>
      <c r="F6" s="86">
        <v>52</v>
      </c>
      <c r="G6" s="86">
        <v>1</v>
      </c>
      <c r="H6" s="182">
        <v>52</v>
      </c>
    </row>
    <row r="7" spans="1:8" x14ac:dyDescent="0.25">
      <c r="A7" s="507" t="s">
        <v>315</v>
      </c>
      <c r="B7" s="508"/>
      <c r="C7" s="211" t="s">
        <v>316</v>
      </c>
      <c r="D7" s="522"/>
      <c r="E7" s="187" t="s">
        <v>317</v>
      </c>
      <c r="F7" s="86">
        <v>11</v>
      </c>
      <c r="G7" s="86">
        <v>1</v>
      </c>
      <c r="H7" s="182">
        <v>11</v>
      </c>
    </row>
    <row r="8" spans="1:8" x14ac:dyDescent="0.25">
      <c r="A8" s="188">
        <v>1</v>
      </c>
      <c r="B8" s="189" t="s">
        <v>318</v>
      </c>
      <c r="C8" s="183">
        <v>0.2</v>
      </c>
      <c r="D8" s="522"/>
      <c r="E8" s="198" t="s">
        <v>319</v>
      </c>
      <c r="F8" s="117"/>
      <c r="G8" s="117"/>
      <c r="H8" s="205">
        <v>302</v>
      </c>
    </row>
    <row r="9" spans="1:8" ht="15" customHeight="1" x14ac:dyDescent="0.25">
      <c r="A9" s="188">
        <v>2</v>
      </c>
      <c r="B9" s="189" t="s">
        <v>320</v>
      </c>
      <c r="C9" s="183">
        <v>1.4999999999999999E-2</v>
      </c>
      <c r="E9" s="469" t="s">
        <v>321</v>
      </c>
      <c r="F9" s="469"/>
      <c r="G9" s="469"/>
      <c r="H9" s="469"/>
    </row>
    <row r="10" spans="1:8" x14ac:dyDescent="0.25">
      <c r="A10" s="188">
        <v>3</v>
      </c>
      <c r="B10" s="189" t="s">
        <v>322</v>
      </c>
      <c r="C10" s="183">
        <v>0.01</v>
      </c>
      <c r="D10" s="193"/>
      <c r="E10" s="164"/>
      <c r="F10" s="164"/>
      <c r="G10" s="164"/>
      <c r="H10" s="164"/>
    </row>
    <row r="11" spans="1:8" x14ac:dyDescent="0.25">
      <c r="A11" s="188">
        <v>4</v>
      </c>
      <c r="B11" s="189" t="s">
        <v>323</v>
      </c>
      <c r="C11" s="183">
        <v>2E-3</v>
      </c>
      <c r="D11" s="510"/>
      <c r="E11" s="514" t="s">
        <v>324</v>
      </c>
      <c r="F11" s="514"/>
      <c r="G11" s="514"/>
      <c r="H11" s="514"/>
    </row>
    <row r="12" spans="1:8" x14ac:dyDescent="0.25">
      <c r="A12" s="188">
        <v>5</v>
      </c>
      <c r="B12" s="189" t="s">
        <v>325</v>
      </c>
      <c r="C12" s="183">
        <v>6.0000000000000001E-3</v>
      </c>
      <c r="D12" s="510"/>
      <c r="E12" s="206"/>
      <c r="F12" s="207" t="s">
        <v>310</v>
      </c>
      <c r="G12" s="207" t="s">
        <v>311</v>
      </c>
      <c r="H12" s="207" t="s">
        <v>310</v>
      </c>
    </row>
    <row r="13" spans="1:8" x14ac:dyDescent="0.25">
      <c r="A13" s="188">
        <v>6</v>
      </c>
      <c r="B13" s="189" t="s">
        <v>326</v>
      </c>
      <c r="C13" s="183">
        <v>2.5000000000000001E-2</v>
      </c>
      <c r="D13" s="510"/>
      <c r="E13" s="94" t="s">
        <v>310</v>
      </c>
      <c r="F13" s="16">
        <v>365</v>
      </c>
      <c r="G13" s="124"/>
      <c r="H13" s="16">
        <v>365</v>
      </c>
    </row>
    <row r="14" spans="1:8" x14ac:dyDescent="0.25">
      <c r="A14" s="188">
        <v>7</v>
      </c>
      <c r="B14" s="189" t="s">
        <v>327</v>
      </c>
      <c r="C14" s="183">
        <v>0.03</v>
      </c>
      <c r="D14" s="510"/>
      <c r="E14" s="94" t="s">
        <v>314</v>
      </c>
      <c r="F14" s="16">
        <v>52</v>
      </c>
      <c r="G14" s="16">
        <v>1</v>
      </c>
      <c r="H14" s="16">
        <v>52</v>
      </c>
    </row>
    <row r="15" spans="1:8" x14ac:dyDescent="0.25">
      <c r="A15" s="188">
        <v>8</v>
      </c>
      <c r="B15" s="189" t="s">
        <v>328</v>
      </c>
      <c r="C15" s="183">
        <v>0.08</v>
      </c>
      <c r="D15" s="510"/>
      <c r="E15" s="94" t="s">
        <v>317</v>
      </c>
      <c r="F15" s="16">
        <v>11</v>
      </c>
      <c r="G15" s="16">
        <v>1</v>
      </c>
      <c r="H15" s="16">
        <v>11</v>
      </c>
    </row>
    <row r="16" spans="1:8" x14ac:dyDescent="0.25">
      <c r="A16" s="507" t="s">
        <v>329</v>
      </c>
      <c r="B16" s="508"/>
      <c r="C16" s="212">
        <v>0.36799999999999999</v>
      </c>
      <c r="D16" s="510"/>
      <c r="E16" s="94" t="s">
        <v>330</v>
      </c>
      <c r="F16" s="16">
        <v>30</v>
      </c>
      <c r="G16" s="16">
        <v>4</v>
      </c>
      <c r="H16" s="16">
        <v>26</v>
      </c>
    </row>
    <row r="17" spans="1:8" ht="15" customHeight="1" x14ac:dyDescent="0.25">
      <c r="A17" s="493"/>
      <c r="B17" s="493"/>
      <c r="C17" s="493"/>
      <c r="D17" s="493"/>
      <c r="E17" s="94" t="s">
        <v>331</v>
      </c>
      <c r="F17" s="124"/>
      <c r="G17" s="124"/>
      <c r="H17" s="16">
        <v>276</v>
      </c>
    </row>
    <row r="18" spans="1:8" x14ac:dyDescent="0.25">
      <c r="A18" s="145" t="s">
        <v>332</v>
      </c>
      <c r="B18" s="196" t="s">
        <v>387</v>
      </c>
      <c r="C18" s="145" t="s">
        <v>313</v>
      </c>
      <c r="D18" s="510"/>
      <c r="E18" s="514" t="s">
        <v>333</v>
      </c>
      <c r="F18" s="514"/>
      <c r="G18" s="514"/>
      <c r="H18" s="514"/>
    </row>
    <row r="19" spans="1:8" x14ac:dyDescent="0.25">
      <c r="A19" s="501" t="s">
        <v>334</v>
      </c>
      <c r="B19" s="501"/>
      <c r="C19" s="171" t="s">
        <v>316</v>
      </c>
      <c r="D19" s="493"/>
      <c r="E19" s="94" t="s">
        <v>335</v>
      </c>
      <c r="F19" s="16">
        <v>4</v>
      </c>
      <c r="G19" s="124"/>
      <c r="H19" s="16">
        <v>4</v>
      </c>
    </row>
    <row r="20" spans="1:8" x14ac:dyDescent="0.25">
      <c r="A20" s="208">
        <v>9</v>
      </c>
      <c r="B20" s="209" t="s">
        <v>385</v>
      </c>
      <c r="C20" s="210">
        <v>0</v>
      </c>
      <c r="D20" s="510"/>
      <c r="E20" s="94" t="s">
        <v>336</v>
      </c>
      <c r="F20" s="16">
        <v>52</v>
      </c>
      <c r="G20" s="16">
        <v>4</v>
      </c>
      <c r="H20" s="16">
        <v>48</v>
      </c>
    </row>
    <row r="21" spans="1:8" x14ac:dyDescent="0.25">
      <c r="A21" s="188">
        <v>10</v>
      </c>
      <c r="B21" s="189" t="s">
        <v>337</v>
      </c>
      <c r="C21" s="183">
        <v>9.0899999999999995E-2</v>
      </c>
      <c r="D21" s="510"/>
      <c r="E21" s="94" t="s">
        <v>338</v>
      </c>
      <c r="F21" s="16">
        <v>1</v>
      </c>
      <c r="G21" s="16">
        <v>3</v>
      </c>
      <c r="H21" s="124"/>
    </row>
    <row r="22" spans="1:8" x14ac:dyDescent="0.25">
      <c r="A22" s="188">
        <v>11</v>
      </c>
      <c r="B22" s="189" t="s">
        <v>339</v>
      </c>
      <c r="C22" s="183">
        <v>3.0300000000000001E-2</v>
      </c>
      <c r="D22" s="510"/>
      <c r="E22" s="94" t="s">
        <v>340</v>
      </c>
      <c r="F22" s="16">
        <v>11</v>
      </c>
      <c r="G22" s="94" t="s">
        <v>342</v>
      </c>
      <c r="H22" s="124"/>
    </row>
    <row r="23" spans="1:8" x14ac:dyDescent="0.25">
      <c r="A23" s="188">
        <v>12</v>
      </c>
      <c r="B23" s="189" t="s">
        <v>343</v>
      </c>
      <c r="C23" s="183">
        <v>0</v>
      </c>
      <c r="D23" s="510"/>
      <c r="E23" s="94" t="s">
        <v>344</v>
      </c>
      <c r="F23" s="16">
        <v>1</v>
      </c>
      <c r="G23" s="94" t="s">
        <v>345</v>
      </c>
      <c r="H23" s="124"/>
    </row>
    <row r="24" spans="1:8" x14ac:dyDescent="0.25">
      <c r="A24" s="188">
        <v>13</v>
      </c>
      <c r="B24" s="195" t="s">
        <v>346</v>
      </c>
      <c r="C24" s="183">
        <v>3.8E-3</v>
      </c>
      <c r="D24" s="510"/>
      <c r="E24" s="94" t="s">
        <v>347</v>
      </c>
      <c r="F24" s="199">
        <v>15</v>
      </c>
      <c r="G24" s="509"/>
      <c r="H24" s="509"/>
    </row>
    <row r="25" spans="1:8" x14ac:dyDescent="0.25">
      <c r="A25" s="188">
        <v>14</v>
      </c>
      <c r="B25" s="189" t="s">
        <v>348</v>
      </c>
      <c r="C25" s="183">
        <v>8.3299999999999999E-2</v>
      </c>
      <c r="D25" s="510"/>
      <c r="E25" s="94" t="s">
        <v>349</v>
      </c>
      <c r="F25" s="16">
        <v>44</v>
      </c>
      <c r="G25" s="124"/>
      <c r="H25" s="124"/>
    </row>
    <row r="26" spans="1:8" x14ac:dyDescent="0.25">
      <c r="A26" s="188">
        <v>15</v>
      </c>
      <c r="B26" s="189" t="s">
        <v>350</v>
      </c>
      <c r="C26" s="183">
        <v>3.5999999999999999E-3</v>
      </c>
      <c r="D26" s="510"/>
      <c r="E26" s="94" t="s">
        <v>351</v>
      </c>
      <c r="F26" s="16">
        <v>44</v>
      </c>
      <c r="G26" s="16">
        <v>6</v>
      </c>
      <c r="H26" s="200">
        <v>7.33</v>
      </c>
    </row>
    <row r="27" spans="1:8" ht="15" customHeight="1" x14ac:dyDescent="0.25">
      <c r="A27" s="188">
        <v>16</v>
      </c>
      <c r="B27" s="195" t="s">
        <v>352</v>
      </c>
      <c r="C27" s="183">
        <v>4.4999999999999997E-3</v>
      </c>
      <c r="D27" s="510"/>
      <c r="E27" s="201" t="s">
        <v>353</v>
      </c>
      <c r="F27" s="134">
        <v>0.5</v>
      </c>
      <c r="G27" s="124"/>
      <c r="H27" s="124"/>
    </row>
    <row r="28" spans="1:8" ht="15" customHeight="1" x14ac:dyDescent="0.25">
      <c r="A28" s="188">
        <v>17</v>
      </c>
      <c r="B28" s="195" t="s">
        <v>355</v>
      </c>
      <c r="C28" s="183">
        <v>0</v>
      </c>
      <c r="D28" s="510"/>
      <c r="E28" s="94" t="s">
        <v>356</v>
      </c>
      <c r="F28" s="202">
        <v>0.02</v>
      </c>
      <c r="G28" s="509"/>
      <c r="H28" s="509"/>
    </row>
    <row r="29" spans="1:8" ht="22.5" x14ac:dyDescent="0.25">
      <c r="A29" s="507" t="s">
        <v>329</v>
      </c>
      <c r="B29" s="508"/>
      <c r="C29" s="212">
        <v>0.2165</v>
      </c>
      <c r="D29" s="510"/>
      <c r="E29" s="94" t="s">
        <v>357</v>
      </c>
      <c r="F29" s="202">
        <v>0.98</v>
      </c>
      <c r="G29" s="509"/>
      <c r="H29" s="509"/>
    </row>
    <row r="30" spans="1:8" x14ac:dyDescent="0.25">
      <c r="A30" s="493"/>
      <c r="B30" s="493"/>
      <c r="C30" s="493"/>
      <c r="D30" s="493"/>
      <c r="E30" s="94" t="s">
        <v>358</v>
      </c>
      <c r="F30" s="16">
        <v>220</v>
      </c>
      <c r="G30" s="124"/>
      <c r="H30" s="124"/>
    </row>
    <row r="31" spans="1:8" x14ac:dyDescent="0.25">
      <c r="A31" s="455" t="s">
        <v>359</v>
      </c>
      <c r="B31" s="456"/>
      <c r="C31" s="457"/>
      <c r="D31" s="510"/>
      <c r="E31" s="94" t="s">
        <v>360</v>
      </c>
      <c r="F31" s="203">
        <v>1.7999999999999999E-2</v>
      </c>
      <c r="G31" s="447"/>
      <c r="H31" s="447"/>
    </row>
    <row r="32" spans="1:8" x14ac:dyDescent="0.25">
      <c r="A32" s="511"/>
      <c r="B32" s="512"/>
      <c r="C32" s="513"/>
      <c r="D32" s="510"/>
      <c r="E32" s="94" t="s">
        <v>313</v>
      </c>
      <c r="F32" s="16">
        <v>1</v>
      </c>
      <c r="G32" s="94" t="s">
        <v>341</v>
      </c>
      <c r="H32" s="124"/>
    </row>
    <row r="33" spans="1:8" x14ac:dyDescent="0.25">
      <c r="A33" s="137" t="s">
        <v>361</v>
      </c>
      <c r="B33" s="194" t="s">
        <v>386</v>
      </c>
      <c r="C33" s="137" t="s">
        <v>313</v>
      </c>
      <c r="D33" s="510"/>
      <c r="E33" s="94" t="s">
        <v>362</v>
      </c>
      <c r="F33" s="16">
        <v>5</v>
      </c>
      <c r="G33" s="16">
        <v>4</v>
      </c>
      <c r="H33" s="124"/>
    </row>
    <row r="34" spans="1:8" x14ac:dyDescent="0.25">
      <c r="A34" s="507" t="s">
        <v>363</v>
      </c>
      <c r="B34" s="508"/>
      <c r="C34" s="211" t="s">
        <v>316</v>
      </c>
      <c r="D34" s="510"/>
      <c r="E34" s="94" t="s">
        <v>364</v>
      </c>
      <c r="F34" s="16">
        <v>4</v>
      </c>
      <c r="G34" s="16">
        <v>4</v>
      </c>
      <c r="H34" s="124"/>
    </row>
    <row r="35" spans="1:8" ht="22.5" x14ac:dyDescent="0.25">
      <c r="A35" s="188">
        <v>18</v>
      </c>
      <c r="B35" s="189" t="s">
        <v>388</v>
      </c>
      <c r="C35" s="185">
        <v>1E-4</v>
      </c>
      <c r="D35" s="510"/>
      <c r="E35" s="94" t="s">
        <v>365</v>
      </c>
      <c r="F35" s="202">
        <v>0.95</v>
      </c>
      <c r="G35" s="447"/>
      <c r="H35" s="447"/>
    </row>
    <row r="36" spans="1:8" x14ac:dyDescent="0.25">
      <c r="A36" s="188">
        <v>19</v>
      </c>
      <c r="B36" s="189" t="s">
        <v>366</v>
      </c>
      <c r="C36" s="185">
        <v>8.8800000000000004E-2</v>
      </c>
      <c r="D36" s="510"/>
      <c r="E36" s="94" t="s">
        <v>328</v>
      </c>
      <c r="F36" s="203">
        <v>0.08</v>
      </c>
      <c r="G36" s="447"/>
      <c r="H36" s="447"/>
    </row>
    <row r="37" spans="1:8" x14ac:dyDescent="0.25">
      <c r="A37" s="188">
        <v>20</v>
      </c>
      <c r="B37" s="189" t="s">
        <v>367</v>
      </c>
      <c r="C37" s="183">
        <v>8.8900000000000007E-2</v>
      </c>
      <c r="D37" s="510"/>
      <c r="E37" s="94" t="s">
        <v>368</v>
      </c>
      <c r="F37" s="170">
        <v>0.5</v>
      </c>
      <c r="G37" s="124"/>
      <c r="H37" s="124"/>
    </row>
    <row r="38" spans="1:8" ht="22.5" x14ac:dyDescent="0.25">
      <c r="A38" s="188">
        <v>21</v>
      </c>
      <c r="B38" s="132" t="s">
        <v>369</v>
      </c>
      <c r="C38" s="183">
        <v>4.8599999999999997E-2</v>
      </c>
      <c r="D38" s="510"/>
      <c r="E38" s="94" t="s">
        <v>370</v>
      </c>
      <c r="F38" s="203">
        <v>8.5000000000000006E-2</v>
      </c>
      <c r="G38" s="509"/>
      <c r="H38" s="509"/>
    </row>
    <row r="39" spans="1:8" ht="22.5" x14ac:dyDescent="0.25">
      <c r="A39" s="188">
        <v>22</v>
      </c>
      <c r="B39" s="189" t="s">
        <v>371</v>
      </c>
      <c r="C39" s="183">
        <v>7.1000000000000004E-3</v>
      </c>
      <c r="D39" s="510"/>
      <c r="E39" s="94" t="s">
        <v>372</v>
      </c>
      <c r="F39" s="204">
        <v>2.5000000000000001E-2</v>
      </c>
      <c r="G39" s="94"/>
      <c r="H39" s="94" t="s">
        <v>341</v>
      </c>
    </row>
    <row r="40" spans="1:8" x14ac:dyDescent="0.25">
      <c r="A40" s="188">
        <v>23</v>
      </c>
      <c r="B40" s="189" t="s">
        <v>373</v>
      </c>
      <c r="C40" s="186">
        <v>0</v>
      </c>
      <c r="D40" s="510"/>
      <c r="E40" s="94" t="s">
        <v>374</v>
      </c>
      <c r="F40" s="203">
        <v>4.4999999999999998E-2</v>
      </c>
      <c r="G40" s="509"/>
      <c r="H40" s="509"/>
    </row>
    <row r="41" spans="1:8" x14ac:dyDescent="0.25">
      <c r="A41" s="188">
        <v>24</v>
      </c>
      <c r="B41" s="189" t="s">
        <v>375</v>
      </c>
      <c r="C41" s="183">
        <v>0</v>
      </c>
      <c r="D41" s="510"/>
      <c r="E41" s="94" t="s">
        <v>376</v>
      </c>
      <c r="F41" s="16">
        <v>120</v>
      </c>
      <c r="G41" s="16">
        <v>4</v>
      </c>
      <c r="H41" s="124"/>
    </row>
    <row r="42" spans="1:8" ht="22.5" x14ac:dyDescent="0.25">
      <c r="A42" s="188">
        <v>25</v>
      </c>
      <c r="B42" s="189" t="s">
        <v>377</v>
      </c>
      <c r="C42" s="183">
        <v>0</v>
      </c>
      <c r="D42" s="510"/>
      <c r="E42" s="94" t="s">
        <v>378</v>
      </c>
      <c r="F42" s="203">
        <v>0.03</v>
      </c>
      <c r="G42" s="509"/>
      <c r="H42" s="509"/>
    </row>
    <row r="43" spans="1:8" ht="15" customHeight="1" x14ac:dyDescent="0.25">
      <c r="A43" s="188">
        <v>26</v>
      </c>
      <c r="B43" s="189" t="s">
        <v>379</v>
      </c>
      <c r="C43" s="183">
        <v>0</v>
      </c>
      <c r="E43" s="504" t="s">
        <v>380</v>
      </c>
      <c r="F43" s="504"/>
      <c r="G43" s="504"/>
      <c r="H43" s="504"/>
    </row>
    <row r="44" spans="1:8" x14ac:dyDescent="0.25">
      <c r="A44" s="188">
        <v>27</v>
      </c>
      <c r="B44" s="189" t="s">
        <v>381</v>
      </c>
      <c r="C44" s="183">
        <v>0</v>
      </c>
      <c r="D44" s="197"/>
      <c r="E44" s="119"/>
      <c r="F44" s="119"/>
      <c r="G44" s="119"/>
      <c r="H44" s="119"/>
    </row>
    <row r="45" spans="1:8" x14ac:dyDescent="0.25">
      <c r="A45" s="507" t="s">
        <v>329</v>
      </c>
      <c r="B45" s="508"/>
      <c r="C45" s="212">
        <v>0.14460000000000001</v>
      </c>
      <c r="D45" s="197"/>
      <c r="E45" s="119"/>
      <c r="F45" s="119"/>
      <c r="G45" s="119"/>
      <c r="H45" s="119"/>
    </row>
    <row r="46" spans="1:8" x14ac:dyDescent="0.25">
      <c r="A46" s="493"/>
      <c r="B46" s="493"/>
      <c r="C46" s="493"/>
      <c r="D46" s="493"/>
      <c r="E46" s="493"/>
      <c r="F46" s="493"/>
      <c r="G46" s="493"/>
      <c r="H46" s="493"/>
    </row>
    <row r="47" spans="1:8" x14ac:dyDescent="0.25">
      <c r="A47" s="137" t="s">
        <v>382</v>
      </c>
      <c r="B47" s="137" t="s">
        <v>383</v>
      </c>
      <c r="C47" s="137" t="s">
        <v>316</v>
      </c>
      <c r="D47" s="510"/>
      <c r="E47" s="493"/>
      <c r="F47" s="493"/>
      <c r="G47" s="493"/>
      <c r="H47" s="493"/>
    </row>
    <row r="48" spans="1:8" x14ac:dyDescent="0.25">
      <c r="A48" s="188">
        <v>28</v>
      </c>
      <c r="B48" s="189" t="s">
        <v>383</v>
      </c>
      <c r="C48" s="184">
        <v>7.9699999999999993E-2</v>
      </c>
      <c r="D48" s="510"/>
      <c r="E48" s="493"/>
      <c r="F48" s="493"/>
      <c r="G48" s="493"/>
      <c r="H48" s="493"/>
    </row>
    <row r="49" spans="1:8" x14ac:dyDescent="0.25">
      <c r="A49" s="507" t="s">
        <v>329</v>
      </c>
      <c r="B49" s="508"/>
      <c r="C49" s="212">
        <f>C48</f>
        <v>7.9699999999999993E-2</v>
      </c>
      <c r="D49" s="107"/>
      <c r="E49" s="107"/>
      <c r="F49" s="107"/>
      <c r="G49" s="107"/>
      <c r="H49" s="107"/>
    </row>
    <row r="50" spans="1:8" x14ac:dyDescent="0.25">
      <c r="A50" s="493"/>
      <c r="B50" s="493"/>
      <c r="C50" s="493"/>
      <c r="D50" s="493"/>
      <c r="E50" s="493"/>
      <c r="F50" s="493"/>
      <c r="G50" s="493"/>
      <c r="H50" s="493"/>
    </row>
    <row r="51" spans="1:8" ht="15" customHeight="1" x14ac:dyDescent="0.25">
      <c r="A51" s="505" t="s">
        <v>389</v>
      </c>
      <c r="B51" s="505"/>
      <c r="C51" s="506">
        <f>C45+C29+C16+C49</f>
        <v>0.80879999999999996</v>
      </c>
      <c r="D51" s="493"/>
      <c r="E51" s="493"/>
      <c r="F51" s="493"/>
      <c r="G51" s="493"/>
      <c r="H51" s="493"/>
    </row>
    <row r="52" spans="1:8" x14ac:dyDescent="0.25">
      <c r="A52" s="505"/>
      <c r="B52" s="505"/>
      <c r="C52" s="506"/>
    </row>
  </sheetData>
  <mergeCells count="40">
    <mergeCell ref="A1:H1"/>
    <mergeCell ref="A2:H2"/>
    <mergeCell ref="A3:C3"/>
    <mergeCell ref="D3:D8"/>
    <mergeCell ref="E3:H3"/>
    <mergeCell ref="A4:C4"/>
    <mergeCell ref="A5:C5"/>
    <mergeCell ref="A7:B7"/>
    <mergeCell ref="D11:D16"/>
    <mergeCell ref="E11:H11"/>
    <mergeCell ref="A16:B16"/>
    <mergeCell ref="A17:D17"/>
    <mergeCell ref="D18:D29"/>
    <mergeCell ref="E18:H18"/>
    <mergeCell ref="A19:B19"/>
    <mergeCell ref="G24:H24"/>
    <mergeCell ref="G28:H28"/>
    <mergeCell ref="A29:B29"/>
    <mergeCell ref="G29:H29"/>
    <mergeCell ref="A32:C32"/>
    <mergeCell ref="A34:B34"/>
    <mergeCell ref="G35:H35"/>
    <mergeCell ref="G36:H36"/>
    <mergeCell ref="G38:H38"/>
    <mergeCell ref="E9:H9"/>
    <mergeCell ref="E43:H43"/>
    <mergeCell ref="A51:B52"/>
    <mergeCell ref="C51:C52"/>
    <mergeCell ref="A49:B49"/>
    <mergeCell ref="A50:H50"/>
    <mergeCell ref="D51:H51"/>
    <mergeCell ref="G40:H40"/>
    <mergeCell ref="G42:H42"/>
    <mergeCell ref="A45:B45"/>
    <mergeCell ref="A46:H46"/>
    <mergeCell ref="D47:H48"/>
    <mergeCell ref="A30:D30"/>
    <mergeCell ref="A31:C31"/>
    <mergeCell ref="D31:D42"/>
    <mergeCell ref="G31:H31"/>
  </mergeCells>
  <pageMargins left="0.25" right="0.25" top="0.25" bottom="0.1979166666666666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5CA36-753E-456C-9596-E25872742614}">
  <dimension ref="A1:H23"/>
  <sheetViews>
    <sheetView view="pageLayout" topLeftCell="A13" zoomScaleNormal="100" workbookViewId="0">
      <selection activeCell="F23" sqref="F23"/>
    </sheetView>
  </sheetViews>
  <sheetFormatPr defaultRowHeight="15" x14ac:dyDescent="0.25"/>
  <cols>
    <col min="1" max="1" width="2.28515625" bestFit="1" customWidth="1"/>
    <col min="2" max="2" width="2.7109375" customWidth="1"/>
    <col min="3" max="3" width="36.7109375" customWidth="1"/>
    <col min="5" max="5" width="9.140625" style="103"/>
    <col min="6" max="6" width="16.85546875" bestFit="1" customWidth="1"/>
  </cols>
  <sheetData>
    <row r="1" spans="1:8" ht="22.5" customHeight="1" x14ac:dyDescent="0.25">
      <c r="A1" s="529" t="s">
        <v>474</v>
      </c>
      <c r="B1" s="530"/>
      <c r="C1" s="530"/>
      <c r="D1" s="530"/>
      <c r="E1" s="530"/>
      <c r="F1" s="530"/>
      <c r="G1" s="530"/>
      <c r="H1" s="531"/>
    </row>
    <row r="2" spans="1:8" x14ac:dyDescent="0.25">
      <c r="A2" s="493"/>
      <c r="B2" s="493"/>
      <c r="C2" s="493"/>
      <c r="D2" s="493"/>
      <c r="E2" s="493"/>
      <c r="F2" s="493"/>
      <c r="G2" s="493"/>
    </row>
    <row r="3" spans="1:8" ht="15" customHeight="1" x14ac:dyDescent="0.25">
      <c r="A3" s="88">
        <v>1</v>
      </c>
      <c r="B3" s="526" t="s">
        <v>460</v>
      </c>
      <c r="C3" s="527"/>
      <c r="D3" s="527"/>
      <c r="E3" s="527"/>
      <c r="F3" s="527"/>
      <c r="G3" s="527"/>
      <c r="H3" s="528"/>
    </row>
    <row r="4" spans="1:8" x14ac:dyDescent="0.25">
      <c r="A4" s="467" t="s">
        <v>22</v>
      </c>
      <c r="B4" s="465"/>
      <c r="C4" s="466"/>
      <c r="D4" s="138" t="s">
        <v>23</v>
      </c>
      <c r="E4" s="165" t="s">
        <v>24</v>
      </c>
      <c r="F4" s="278"/>
      <c r="G4" s="278"/>
      <c r="H4" s="278"/>
    </row>
    <row r="5" spans="1:8" ht="15" customHeight="1" x14ac:dyDescent="0.25">
      <c r="A5" s="445" t="s">
        <v>28</v>
      </c>
      <c r="B5" s="446"/>
      <c r="C5" s="14" t="s">
        <v>461</v>
      </c>
      <c r="D5" s="18" t="s">
        <v>462</v>
      </c>
      <c r="E5" s="15">
        <v>1166</v>
      </c>
      <c r="F5" s="278"/>
    </row>
    <row r="6" spans="1:8" x14ac:dyDescent="0.25">
      <c r="A6" s="445" t="s">
        <v>33</v>
      </c>
      <c r="B6" s="446"/>
      <c r="C6" s="14" t="s">
        <v>463</v>
      </c>
      <c r="D6" s="18" t="s">
        <v>462</v>
      </c>
      <c r="E6" s="15">
        <v>656</v>
      </c>
      <c r="F6" s="278"/>
    </row>
    <row r="7" spans="1:8" x14ac:dyDescent="0.25">
      <c r="A7" s="445" t="s">
        <v>39</v>
      </c>
      <c r="B7" s="446"/>
      <c r="C7" s="14" t="s">
        <v>464</v>
      </c>
      <c r="D7" s="18" t="s">
        <v>471</v>
      </c>
      <c r="E7" s="279">
        <v>2.5</v>
      </c>
      <c r="F7" s="278"/>
      <c r="G7" s="278"/>
      <c r="H7" s="278"/>
    </row>
    <row r="8" spans="1:8" x14ac:dyDescent="0.25">
      <c r="A8" s="445" t="s">
        <v>40</v>
      </c>
      <c r="B8" s="446"/>
      <c r="C8" s="14" t="s">
        <v>465</v>
      </c>
      <c r="D8" s="18" t="s">
        <v>471</v>
      </c>
      <c r="E8" s="279">
        <v>1.5</v>
      </c>
      <c r="F8" s="278"/>
      <c r="G8" s="280"/>
      <c r="H8" s="280"/>
    </row>
    <row r="9" spans="1:8" x14ac:dyDescent="0.25">
      <c r="A9" s="445" t="s">
        <v>41</v>
      </c>
      <c r="B9" s="446"/>
      <c r="C9" s="14" t="s">
        <v>472</v>
      </c>
      <c r="D9" s="18" t="s">
        <v>354</v>
      </c>
      <c r="E9" s="15">
        <v>10</v>
      </c>
      <c r="F9" s="278"/>
      <c r="G9" s="280"/>
      <c r="H9" s="280"/>
    </row>
    <row r="10" spans="1:8" ht="15" customHeight="1" x14ac:dyDescent="0.25">
      <c r="A10" s="445" t="s">
        <v>42</v>
      </c>
      <c r="B10" s="446"/>
      <c r="C10" s="14" t="s">
        <v>473</v>
      </c>
      <c r="D10" s="18" t="s">
        <v>354</v>
      </c>
      <c r="E10" s="15">
        <v>5</v>
      </c>
      <c r="F10" s="278"/>
      <c r="G10" s="278"/>
      <c r="H10" s="278"/>
    </row>
    <row r="11" spans="1:8" x14ac:dyDescent="0.25">
      <c r="A11" s="445" t="s">
        <v>43</v>
      </c>
      <c r="B11" s="446"/>
      <c r="C11" s="14" t="s">
        <v>466</v>
      </c>
      <c r="D11" s="18" t="s">
        <v>354</v>
      </c>
      <c r="E11" s="15">
        <v>55</v>
      </c>
      <c r="F11" s="278"/>
      <c r="G11" s="278"/>
      <c r="H11" s="278"/>
    </row>
    <row r="12" spans="1:8" x14ac:dyDescent="0.25">
      <c r="A12" s="445" t="s">
        <v>70</v>
      </c>
      <c r="B12" s="446"/>
      <c r="C12" s="14" t="s">
        <v>467</v>
      </c>
      <c r="D12" s="18" t="s">
        <v>354</v>
      </c>
      <c r="E12" s="15">
        <v>220</v>
      </c>
      <c r="F12" s="278"/>
      <c r="G12" s="278"/>
      <c r="H12" s="278"/>
    </row>
    <row r="13" spans="1:8" x14ac:dyDescent="0.25">
      <c r="A13" s="445" t="s">
        <v>83</v>
      </c>
      <c r="B13" s="446"/>
      <c r="C13" s="14" t="s">
        <v>468</v>
      </c>
      <c r="D13" s="18" t="s">
        <v>316</v>
      </c>
      <c r="E13" s="277">
        <v>0.75</v>
      </c>
      <c r="F13" s="278"/>
      <c r="G13" s="278"/>
      <c r="H13" s="278"/>
    </row>
    <row r="14" spans="1:8" x14ac:dyDescent="0.25">
      <c r="A14" s="445" t="s">
        <v>143</v>
      </c>
      <c r="B14" s="446"/>
      <c r="C14" s="14" t="s">
        <v>469</v>
      </c>
      <c r="D14" s="18" t="s">
        <v>316</v>
      </c>
      <c r="E14" s="277">
        <v>0.6</v>
      </c>
      <c r="F14" s="278"/>
      <c r="G14" s="278"/>
      <c r="H14" s="278"/>
    </row>
    <row r="15" spans="1:8" x14ac:dyDescent="0.25">
      <c r="A15" s="445" t="s">
        <v>478</v>
      </c>
      <c r="B15" s="446"/>
      <c r="C15" s="14" t="s">
        <v>470</v>
      </c>
      <c r="D15" s="18" t="s">
        <v>316</v>
      </c>
      <c r="E15" s="276">
        <f>E13*E14</f>
        <v>0.44999999999999996</v>
      </c>
      <c r="F15" s="278"/>
      <c r="G15" s="278"/>
      <c r="H15" s="278"/>
    </row>
    <row r="17" spans="3:6" x14ac:dyDescent="0.25">
      <c r="C17" s="525" t="s">
        <v>475</v>
      </c>
      <c r="D17" s="525"/>
      <c r="E17" s="525"/>
      <c r="F17" s="286">
        <f>E5*E7*E12*E15</f>
        <v>288585</v>
      </c>
    </row>
    <row r="19" spans="3:6" x14ac:dyDescent="0.25">
      <c r="C19" s="524" t="s">
        <v>476</v>
      </c>
      <c r="D19" s="524"/>
      <c r="E19" s="524"/>
      <c r="F19" s="287">
        <f>E6*E8*E12*E15</f>
        <v>97415.999999999985</v>
      </c>
    </row>
    <row r="21" spans="3:6" x14ac:dyDescent="0.25">
      <c r="C21" s="525" t="s">
        <v>477</v>
      </c>
      <c r="D21" s="525"/>
      <c r="E21" s="525"/>
      <c r="F21" s="285">
        <f>F17+F19</f>
        <v>386001</v>
      </c>
    </row>
    <row r="23" spans="3:6" x14ac:dyDescent="0.25">
      <c r="C23" s="524" t="s">
        <v>550</v>
      </c>
      <c r="D23" s="524"/>
      <c r="E23" s="524"/>
      <c r="F23" s="287">
        <f>F21*12</f>
        <v>4632012</v>
      </c>
    </row>
  </sheetData>
  <mergeCells count="19">
    <mergeCell ref="B3:H3"/>
    <mergeCell ref="A4:C4"/>
    <mergeCell ref="A5:B5"/>
    <mergeCell ref="A15:B15"/>
    <mergeCell ref="A1:H1"/>
    <mergeCell ref="A9:B9"/>
    <mergeCell ref="A10:B10"/>
    <mergeCell ref="A11:B11"/>
    <mergeCell ref="A6:B6"/>
    <mergeCell ref="A7:B7"/>
    <mergeCell ref="A2:G2"/>
    <mergeCell ref="A8:B8"/>
    <mergeCell ref="C19:E19"/>
    <mergeCell ref="C21:E21"/>
    <mergeCell ref="C23:E23"/>
    <mergeCell ref="C17:E17"/>
    <mergeCell ref="A12:B12"/>
    <mergeCell ref="A13:B13"/>
    <mergeCell ref="A14:B14"/>
  </mergeCell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7127-56BB-441B-8F47-EC5A4512307B}">
  <dimension ref="A1:G11"/>
  <sheetViews>
    <sheetView view="pageLayout" zoomScaleNormal="100" workbookViewId="0">
      <selection activeCell="A4" sqref="A4:C4"/>
    </sheetView>
  </sheetViews>
  <sheetFormatPr defaultRowHeight="15" x14ac:dyDescent="0.25"/>
  <cols>
    <col min="1" max="1" width="2.28515625" bestFit="1" customWidth="1"/>
    <col min="2" max="2" width="2.7109375" customWidth="1"/>
    <col min="3" max="3" width="36.7109375" customWidth="1"/>
    <col min="4" max="4" width="12.5703125" bestFit="1" customWidth="1"/>
    <col min="5" max="5" width="9.7109375" style="103" bestFit="1" customWidth="1"/>
    <col min="6" max="6" width="17.5703125" customWidth="1"/>
  </cols>
  <sheetData>
    <row r="1" spans="1:7" ht="15" customHeight="1" x14ac:dyDescent="0.25">
      <c r="A1" s="529" t="s">
        <v>479</v>
      </c>
      <c r="B1" s="530"/>
      <c r="C1" s="530"/>
      <c r="D1" s="530"/>
      <c r="E1" s="530"/>
      <c r="F1" s="530"/>
      <c r="G1" s="531"/>
    </row>
    <row r="2" spans="1:7" x14ac:dyDescent="0.25">
      <c r="A2" s="493"/>
      <c r="B2" s="493"/>
      <c r="C2" s="493"/>
      <c r="D2" s="493"/>
      <c r="E2" s="493"/>
      <c r="F2" s="493"/>
      <c r="G2" s="493"/>
    </row>
    <row r="3" spans="1:7" ht="15" customHeight="1" x14ac:dyDescent="0.25">
      <c r="A3" s="88">
        <v>1</v>
      </c>
      <c r="B3" s="526" t="s">
        <v>551</v>
      </c>
      <c r="C3" s="527"/>
      <c r="D3" s="527"/>
      <c r="E3" s="527"/>
      <c r="F3" s="527"/>
      <c r="G3" s="528"/>
    </row>
    <row r="4" spans="1:7" x14ac:dyDescent="0.25">
      <c r="A4" s="467" t="s">
        <v>22</v>
      </c>
      <c r="B4" s="465"/>
      <c r="C4" s="466"/>
      <c r="D4" s="281" t="s">
        <v>481</v>
      </c>
      <c r="E4" s="282" t="s">
        <v>482</v>
      </c>
      <c r="F4" s="282" t="s">
        <v>288</v>
      </c>
      <c r="G4" s="278"/>
    </row>
    <row r="5" spans="1:7" x14ac:dyDescent="0.25">
      <c r="A5" s="532" t="s">
        <v>28</v>
      </c>
      <c r="B5" s="533"/>
      <c r="C5" s="14" t="s">
        <v>480</v>
      </c>
      <c r="D5" s="283">
        <v>0.2</v>
      </c>
      <c r="E5" s="15">
        <v>0</v>
      </c>
      <c r="F5" s="288">
        <f>'P11-FATURAMENTO'!$F$21*D5*E5</f>
        <v>0</v>
      </c>
    </row>
    <row r="6" spans="1:7" x14ac:dyDescent="0.25">
      <c r="A6" s="532" t="s">
        <v>33</v>
      </c>
      <c r="B6" s="533"/>
      <c r="C6" s="14" t="s">
        <v>416</v>
      </c>
      <c r="D6" s="283">
        <v>0.2</v>
      </c>
      <c r="E6" s="276">
        <v>0.05</v>
      </c>
      <c r="F6" s="288">
        <f>'P11-FATURAMENTO'!$F$21*D6*E6</f>
        <v>3860.01</v>
      </c>
    </row>
    <row r="7" spans="1:7" x14ac:dyDescent="0.25">
      <c r="A7" s="532" t="s">
        <v>39</v>
      </c>
      <c r="B7" s="533"/>
      <c r="C7" s="14" t="s">
        <v>417</v>
      </c>
      <c r="D7" s="283">
        <v>0.1</v>
      </c>
      <c r="E7" s="284">
        <v>0.02</v>
      </c>
      <c r="F7" s="288">
        <f>'P11-FATURAMENTO'!$F$21*D7*E7</f>
        <v>772.00199999999995</v>
      </c>
      <c r="G7" s="278"/>
    </row>
    <row r="8" spans="1:7" x14ac:dyDescent="0.25">
      <c r="A8" s="532" t="s">
        <v>40</v>
      </c>
      <c r="B8" s="533"/>
      <c r="C8" s="14" t="s">
        <v>419</v>
      </c>
      <c r="D8" s="283">
        <v>0.4</v>
      </c>
      <c r="E8" s="284">
        <v>0.01</v>
      </c>
      <c r="F8" s="288">
        <f>'P11-FATURAMENTO'!$F$21*D8*E8</f>
        <v>1544.0039999999999</v>
      </c>
      <c r="G8" s="280"/>
    </row>
    <row r="9" spans="1:7" x14ac:dyDescent="0.25">
      <c r="A9" s="532" t="s">
        <v>41</v>
      </c>
      <c r="B9" s="533"/>
      <c r="C9" s="14" t="s">
        <v>483</v>
      </c>
      <c r="D9" s="283">
        <v>0.05</v>
      </c>
      <c r="E9" s="276">
        <v>0.05</v>
      </c>
      <c r="F9" s="288">
        <f>'P11-FATURAMENTO'!$F$21*D9*E9</f>
        <v>965.00250000000005</v>
      </c>
      <c r="G9" s="280"/>
    </row>
    <row r="10" spans="1:7" x14ac:dyDescent="0.25">
      <c r="A10" s="532" t="s">
        <v>42</v>
      </c>
      <c r="B10" s="533"/>
      <c r="C10" s="14" t="s">
        <v>484</v>
      </c>
      <c r="D10" s="283">
        <v>0.05</v>
      </c>
      <c r="E10" s="276">
        <v>0.1</v>
      </c>
      <c r="F10" s="288">
        <f>'P11-FATURAMENTO'!$F$21*D10*E10</f>
        <v>1930.0050000000001</v>
      </c>
    </row>
    <row r="11" spans="1:7" x14ac:dyDescent="0.25">
      <c r="D11" s="289"/>
    </row>
  </sheetData>
  <mergeCells count="10">
    <mergeCell ref="B3:G3"/>
    <mergeCell ref="A1:G1"/>
    <mergeCell ref="A10:B10"/>
    <mergeCell ref="A2:G2"/>
    <mergeCell ref="A4:C4"/>
    <mergeCell ref="A7:B7"/>
    <mergeCell ref="A8:B8"/>
    <mergeCell ref="A9:B9"/>
    <mergeCell ref="A5:B5"/>
    <mergeCell ref="A6:B6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6F5A-CBEA-4D5E-B0D8-CD2E03A95E3D}">
  <dimension ref="A1:H127"/>
  <sheetViews>
    <sheetView view="pageLayout" zoomScale="130" zoomScaleNormal="100" zoomScalePageLayoutView="130" workbookViewId="0">
      <selection sqref="A1:H1"/>
    </sheetView>
  </sheetViews>
  <sheetFormatPr defaultRowHeight="15" x14ac:dyDescent="0.25"/>
  <cols>
    <col min="1" max="1" width="3.7109375" style="227" bestFit="1" customWidth="1"/>
    <col min="2" max="2" width="31.85546875" style="220" customWidth="1"/>
    <col min="3" max="3" width="7.42578125" style="11" bestFit="1" customWidth="1"/>
    <col min="4" max="4" width="14.28515625" style="80" bestFit="1" customWidth="1"/>
    <col min="5" max="5" width="8.28515625" style="11" bestFit="1" customWidth="1"/>
    <col min="6" max="6" width="7.28515625" style="11" bestFit="1" customWidth="1"/>
    <col min="7" max="7" width="15.85546875" style="80" bestFit="1" customWidth="1"/>
    <col min="8" max="8" width="9.140625" style="11" bestFit="1" customWidth="1"/>
  </cols>
  <sheetData>
    <row r="1" spans="1:8" ht="24" customHeight="1" x14ac:dyDescent="0.25">
      <c r="A1" s="554" t="s">
        <v>432</v>
      </c>
      <c r="B1" s="555"/>
      <c r="C1" s="555"/>
      <c r="D1" s="555"/>
      <c r="E1" s="555"/>
      <c r="F1" s="555"/>
      <c r="G1" s="555"/>
      <c r="H1" s="556"/>
    </row>
    <row r="2" spans="1:8" x14ac:dyDescent="0.25">
      <c r="A2" s="518"/>
      <c r="B2" s="518"/>
      <c r="C2" s="518"/>
      <c r="D2" s="518"/>
      <c r="E2" s="518"/>
      <c r="F2" s="518"/>
      <c r="G2" s="518"/>
      <c r="H2" s="518"/>
    </row>
    <row r="3" spans="1:8" s="12" customFormat="1" ht="16.5" customHeight="1" x14ac:dyDescent="0.25">
      <c r="A3" s="578"/>
      <c r="B3" s="578"/>
      <c r="C3" s="228" t="s">
        <v>311</v>
      </c>
      <c r="D3" s="230" t="s">
        <v>238</v>
      </c>
      <c r="E3" s="228" t="s">
        <v>429</v>
      </c>
      <c r="F3" s="229" t="s">
        <v>311</v>
      </c>
      <c r="G3" s="230" t="s">
        <v>237</v>
      </c>
      <c r="H3" s="228" t="s">
        <v>423</v>
      </c>
    </row>
    <row r="4" spans="1:8" s="234" customFormat="1" ht="15" customHeight="1" x14ac:dyDescent="0.25">
      <c r="A4" s="243" t="s">
        <v>395</v>
      </c>
      <c r="B4" s="529" t="s">
        <v>393</v>
      </c>
      <c r="C4" s="530"/>
      <c r="D4" s="530"/>
      <c r="E4" s="530"/>
      <c r="F4" s="530"/>
      <c r="G4" s="530"/>
      <c r="H4" s="531"/>
    </row>
    <row r="5" spans="1:8" s="8" customFormat="1" ht="15" customHeight="1" x14ac:dyDescent="0.25">
      <c r="A5" s="249" t="s">
        <v>433</v>
      </c>
      <c r="B5" s="572" t="s">
        <v>26</v>
      </c>
      <c r="C5" s="573"/>
      <c r="D5" s="573"/>
      <c r="E5" s="573"/>
      <c r="F5" s="573"/>
      <c r="G5" s="573"/>
      <c r="H5" s="574"/>
    </row>
    <row r="6" spans="1:8" s="8" customFormat="1" ht="15" customHeight="1" x14ac:dyDescent="0.25">
      <c r="A6" s="237" t="s">
        <v>28</v>
      </c>
      <c r="B6" s="238" t="str">
        <f>'P4-DESPESA COM PESSOAL'!C5</f>
        <v>Supervisor</v>
      </c>
      <c r="C6" s="245" t="s">
        <v>85</v>
      </c>
      <c r="D6" s="246">
        <f>'P4-DESPESA COM PESSOAL'!G5</f>
        <v>8171.760463999999</v>
      </c>
      <c r="E6" s="247">
        <v>12</v>
      </c>
      <c r="F6" s="248" t="s">
        <v>414</v>
      </c>
      <c r="G6" s="246">
        <f>D6*E6</f>
        <v>98061.125567999989</v>
      </c>
      <c r="H6" s="270">
        <f>G6/$G$116</f>
        <v>2.9574932169869027E-2</v>
      </c>
    </row>
    <row r="7" spans="1:8" s="8" customFormat="1" ht="15" customHeight="1" x14ac:dyDescent="0.25">
      <c r="A7" s="236" t="s">
        <v>33</v>
      </c>
      <c r="B7" s="238" t="str">
        <f>'P4-DESPESA COM PESSOAL'!C6</f>
        <v>Monitor</v>
      </c>
      <c r="C7" s="241" t="s">
        <v>85</v>
      </c>
      <c r="D7" s="246">
        <f>'P4-DESPESA COM PESSOAL'!G6</f>
        <v>67151.7</v>
      </c>
      <c r="E7" s="247">
        <v>12</v>
      </c>
      <c r="F7" s="242" t="s">
        <v>414</v>
      </c>
      <c r="G7" s="246">
        <f>D7*E7</f>
        <v>805820.39999999991</v>
      </c>
      <c r="H7" s="270">
        <f>G7/$G$116</f>
        <v>0.24303294025082842</v>
      </c>
    </row>
    <row r="8" spans="1:8" s="251" customFormat="1" ht="15" customHeight="1" x14ac:dyDescent="0.25">
      <c r="A8" s="534" t="s">
        <v>438</v>
      </c>
      <c r="B8" s="535"/>
      <c r="C8" s="252" t="s">
        <v>85</v>
      </c>
      <c r="D8" s="253">
        <f>SUM(D6:D7)</f>
        <v>75323.460464000003</v>
      </c>
      <c r="E8" s="254">
        <v>12</v>
      </c>
      <c r="F8" s="252" t="s">
        <v>414</v>
      </c>
      <c r="G8" s="253">
        <f>SUM(G6:G7)</f>
        <v>903881.52556799992</v>
      </c>
      <c r="H8" s="271">
        <f>G8/$G$116</f>
        <v>0.27260787242069745</v>
      </c>
    </row>
    <row r="9" spans="1:8" s="8" customFormat="1" ht="15" customHeight="1" x14ac:dyDescent="0.25">
      <c r="A9" s="249" t="s">
        <v>287</v>
      </c>
      <c r="B9" s="572" t="s">
        <v>35</v>
      </c>
      <c r="C9" s="573"/>
      <c r="D9" s="573"/>
      <c r="E9" s="573"/>
      <c r="F9" s="573"/>
      <c r="G9" s="573"/>
      <c r="H9" s="574"/>
    </row>
    <row r="10" spans="1:8" s="8" customFormat="1" ht="15" customHeight="1" x14ac:dyDescent="0.25">
      <c r="A10" s="237" t="s">
        <v>28</v>
      </c>
      <c r="B10" s="238" t="str">
        <f>'P4-DESPESA COM PESSOAL'!C9</f>
        <v>Diretoria</v>
      </c>
      <c r="C10" s="245" t="s">
        <v>85</v>
      </c>
      <c r="D10" s="273">
        <f>'P4-DESPESA COM PESSOAL'!G9</f>
        <v>14764.637495999999</v>
      </c>
      <c r="E10" s="247">
        <v>12</v>
      </c>
      <c r="F10" s="248" t="s">
        <v>414</v>
      </c>
      <c r="G10" s="273">
        <f>D10*E10</f>
        <v>177175.64995200001</v>
      </c>
      <c r="H10" s="270">
        <f>G10/$G$116</f>
        <v>5.3435628024167806E-2</v>
      </c>
    </row>
    <row r="11" spans="1:8" s="8" customFormat="1" ht="15" customHeight="1" x14ac:dyDescent="0.25">
      <c r="A11" s="222" t="s">
        <v>33</v>
      </c>
      <c r="B11" s="238" t="str">
        <f>'P4-DESPESA COM PESSOAL'!C10</f>
        <v>Gerente Administrativo</v>
      </c>
      <c r="C11" s="214" t="s">
        <v>85</v>
      </c>
      <c r="D11" s="273">
        <f>'P4-DESPESA COM PESSOAL'!G10</f>
        <v>8095.3929280000002</v>
      </c>
      <c r="E11" s="247">
        <v>12</v>
      </c>
      <c r="F11" s="215" t="s">
        <v>414</v>
      </c>
      <c r="G11" s="273">
        <f t="shared" ref="G11:G13" si="0">D11*E11</f>
        <v>97144.715135999999</v>
      </c>
      <c r="H11" s="270">
        <f t="shared" ref="H11:H20" si="1">G11/$G$116</f>
        <v>2.9298545618020141E-2</v>
      </c>
    </row>
    <row r="12" spans="1:8" s="8" customFormat="1" ht="15" customHeight="1" x14ac:dyDescent="0.25">
      <c r="A12" s="222" t="s">
        <v>39</v>
      </c>
      <c r="B12" s="238" t="str">
        <f>'P4-DESPESA COM PESSOAL'!C11</f>
        <v>Assistente Administrativo</v>
      </c>
      <c r="C12" s="214" t="s">
        <v>85</v>
      </c>
      <c r="D12" s="273">
        <f>'P4-DESPESA COM PESSOAL'!G11</f>
        <v>4118.6376</v>
      </c>
      <c r="E12" s="247">
        <v>12</v>
      </c>
      <c r="F12" s="215" t="s">
        <v>414</v>
      </c>
      <c r="G12" s="273">
        <f t="shared" si="0"/>
        <v>49423.6512</v>
      </c>
      <c r="H12" s="270">
        <f t="shared" si="1"/>
        <v>1.4906020335384145E-2</v>
      </c>
    </row>
    <row r="13" spans="1:8" s="8" customFormat="1" ht="15" customHeight="1" x14ac:dyDescent="0.25">
      <c r="A13" s="222" t="s">
        <v>40</v>
      </c>
      <c r="B13" s="238" t="str">
        <f>'P4-DESPESA COM PESSOAL'!C12</f>
        <v>Recpcionista</v>
      </c>
      <c r="C13" s="214" t="s">
        <v>85</v>
      </c>
      <c r="D13" s="273">
        <f>'P4-DESPESA COM PESSOAL'!G12</f>
        <v>4384.5312000000004</v>
      </c>
      <c r="E13" s="247">
        <v>12</v>
      </c>
      <c r="F13" s="215" t="s">
        <v>414</v>
      </c>
      <c r="G13" s="273">
        <f t="shared" si="0"/>
        <v>52614.374400000001</v>
      </c>
      <c r="H13" s="270">
        <f t="shared" si="1"/>
        <v>1.5868332583650051E-2</v>
      </c>
    </row>
    <row r="14" spans="1:8" s="8" customFormat="1" ht="15" customHeight="1" x14ac:dyDescent="0.25">
      <c r="A14" s="534" t="s">
        <v>437</v>
      </c>
      <c r="B14" s="535"/>
      <c r="C14" s="255" t="s">
        <v>85</v>
      </c>
      <c r="D14" s="256">
        <f>SUM(D10:D13)</f>
        <v>31363.199224</v>
      </c>
      <c r="E14" s="257">
        <v>12</v>
      </c>
      <c r="F14" s="255" t="s">
        <v>414</v>
      </c>
      <c r="G14" s="256">
        <f>SUM(G10:G13)</f>
        <v>376358.39068800001</v>
      </c>
      <c r="H14" s="271">
        <f t="shared" si="1"/>
        <v>0.11350852656122215</v>
      </c>
    </row>
    <row r="15" spans="1:8" s="8" customFormat="1" ht="15" customHeight="1" x14ac:dyDescent="0.25">
      <c r="A15" s="249" t="s">
        <v>430</v>
      </c>
      <c r="B15" s="572" t="s">
        <v>47</v>
      </c>
      <c r="C15" s="573"/>
      <c r="D15" s="573"/>
      <c r="E15" s="573"/>
      <c r="F15" s="573"/>
      <c r="G15" s="573"/>
      <c r="H15" s="574"/>
    </row>
    <row r="16" spans="1:8" s="8" customFormat="1" ht="15" customHeight="1" x14ac:dyDescent="0.25">
      <c r="A16" s="237" t="s">
        <v>28</v>
      </c>
      <c r="B16" s="238" t="str">
        <f>'P4-DESPESA COM PESSOAL'!C15</f>
        <v>Técnico em TI</v>
      </c>
      <c r="C16" s="245" t="s">
        <v>85</v>
      </c>
      <c r="D16" s="273">
        <f>'P4-DESPESA COM PESSOAL'!G15</f>
        <v>3689.9519999999998</v>
      </c>
      <c r="E16" s="247">
        <v>12</v>
      </c>
      <c r="F16" s="248" t="s">
        <v>414</v>
      </c>
      <c r="G16" s="273">
        <f>D16*E16</f>
        <v>44279.423999999999</v>
      </c>
      <c r="H16" s="270">
        <f t="shared" si="1"/>
        <v>1.3354537322873805E-2</v>
      </c>
    </row>
    <row r="17" spans="1:8" s="8" customFormat="1" ht="15" customHeight="1" x14ac:dyDescent="0.25">
      <c r="A17" s="222" t="s">
        <v>33</v>
      </c>
      <c r="B17" s="238" t="str">
        <f>'P4-DESPESA COM PESSOAL'!C16</f>
        <v>Técnico em Manutenção</v>
      </c>
      <c r="C17" s="214" t="s">
        <v>85</v>
      </c>
      <c r="D17" s="273">
        <f>'P4-DESPESA COM PESSOAL'!G16</f>
        <v>3689.9519999999998</v>
      </c>
      <c r="E17" s="247">
        <v>12</v>
      </c>
      <c r="F17" s="215" t="s">
        <v>414</v>
      </c>
      <c r="G17" s="273">
        <f t="shared" ref="G17:G18" si="2">D17*E17</f>
        <v>44279.423999999999</v>
      </c>
      <c r="H17" s="270">
        <f t="shared" si="1"/>
        <v>1.3354537322873805E-2</v>
      </c>
    </row>
    <row r="18" spans="1:8" s="8" customFormat="1" ht="15" customHeight="1" x14ac:dyDescent="0.25">
      <c r="A18" s="222" t="s">
        <v>39</v>
      </c>
      <c r="B18" s="238" t="str">
        <f>'P4-DESPESA COM PESSOAL'!C17</f>
        <v>Serviços Gerais</v>
      </c>
      <c r="C18" s="214" t="s">
        <v>85</v>
      </c>
      <c r="D18" s="273">
        <f>'P4-DESPESA COM PESSOAL'!G17</f>
        <v>2459.9679999999998</v>
      </c>
      <c r="E18" s="247">
        <v>12</v>
      </c>
      <c r="F18" s="215" t="s">
        <v>414</v>
      </c>
      <c r="G18" s="273">
        <f t="shared" si="2"/>
        <v>29519.615999999998</v>
      </c>
      <c r="H18" s="270">
        <f t="shared" si="1"/>
        <v>8.9030248819158692E-3</v>
      </c>
    </row>
    <row r="19" spans="1:8" s="8" customFormat="1" ht="15" customHeight="1" x14ac:dyDescent="0.25">
      <c r="A19" s="534" t="s">
        <v>436</v>
      </c>
      <c r="B19" s="535"/>
      <c r="C19" s="255" t="s">
        <v>85</v>
      </c>
      <c r="D19" s="256">
        <f>SUM(D16:D18)</f>
        <v>9839.8719999999994</v>
      </c>
      <c r="E19" s="257">
        <v>12</v>
      </c>
      <c r="F19" s="255" t="s">
        <v>414</v>
      </c>
      <c r="G19" s="256">
        <f>SUM(G16:G18)</f>
        <v>118078.46399999999</v>
      </c>
      <c r="H19" s="271">
        <f t="shared" si="1"/>
        <v>3.5612099527663477E-2</v>
      </c>
    </row>
    <row r="20" spans="1:8" s="8" customFormat="1" ht="15" customHeight="1" x14ac:dyDescent="0.25">
      <c r="A20" s="536" t="s">
        <v>434</v>
      </c>
      <c r="B20" s="537"/>
      <c r="C20" s="258" t="s">
        <v>85</v>
      </c>
      <c r="D20" s="259">
        <f>D19+D14+D8</f>
        <v>116526.531688</v>
      </c>
      <c r="E20" s="260">
        <v>12</v>
      </c>
      <c r="F20" s="258" t="s">
        <v>414</v>
      </c>
      <c r="G20" s="261">
        <f>D20*E20</f>
        <v>1398318.380256</v>
      </c>
      <c r="H20" s="272">
        <f t="shared" si="1"/>
        <v>0.42172849850958311</v>
      </c>
    </row>
    <row r="21" spans="1:8" s="8" customFormat="1" ht="7.5" customHeight="1" x14ac:dyDescent="0.25">
      <c r="A21" s="575"/>
      <c r="B21" s="576"/>
      <c r="C21" s="576"/>
      <c r="D21" s="576"/>
      <c r="E21" s="576"/>
      <c r="F21" s="576"/>
      <c r="G21" s="576"/>
      <c r="H21" s="577"/>
    </row>
    <row r="22" spans="1:8" s="8" customFormat="1" x14ac:dyDescent="0.25">
      <c r="A22" s="244" t="s">
        <v>396</v>
      </c>
      <c r="B22" s="545" t="s">
        <v>394</v>
      </c>
      <c r="C22" s="546"/>
      <c r="D22" s="546"/>
      <c r="E22" s="546"/>
      <c r="F22" s="546"/>
      <c r="G22" s="546"/>
      <c r="H22" s="547"/>
    </row>
    <row r="23" spans="1:8" s="8" customFormat="1" ht="15" customHeight="1" x14ac:dyDescent="0.25">
      <c r="A23" s="249" t="s">
        <v>253</v>
      </c>
      <c r="B23" s="572" t="s">
        <v>53</v>
      </c>
      <c r="C23" s="573"/>
      <c r="D23" s="573"/>
      <c r="E23" s="573"/>
      <c r="F23" s="573"/>
      <c r="G23" s="573"/>
      <c r="H23" s="574"/>
    </row>
    <row r="24" spans="1:8" s="8" customFormat="1" ht="15" customHeight="1" x14ac:dyDescent="0.25">
      <c r="A24" s="237" t="s">
        <v>28</v>
      </c>
      <c r="B24" s="238" t="str">
        <f>'P5 - DESPESA COM BENEFICIO SOCI'!C5</f>
        <v>Pessoal Operacional</v>
      </c>
      <c r="C24" s="245" t="s">
        <v>85</v>
      </c>
      <c r="D24" s="246">
        <f>'P5 - DESPESA COM BENEFICIO SOCI'!G5</f>
        <v>12960</v>
      </c>
      <c r="E24" s="247">
        <v>12</v>
      </c>
      <c r="F24" s="248" t="s">
        <v>414</v>
      </c>
      <c r="G24" s="246">
        <f>D24*E24</f>
        <v>155520</v>
      </c>
      <c r="H24" s="270">
        <f t="shared" ref="H24:H56" si="3">G24/$G$116</f>
        <v>4.6904350979211792E-2</v>
      </c>
    </row>
    <row r="25" spans="1:8" s="8" customFormat="1" ht="15" customHeight="1" x14ac:dyDescent="0.25">
      <c r="A25" s="222" t="s">
        <v>33</v>
      </c>
      <c r="B25" s="238" t="str">
        <f>'P5 - DESPESA COM BENEFICIO SOCI'!C6</f>
        <v>Pessoal Administrativo</v>
      </c>
      <c r="C25" s="214" t="s">
        <v>85</v>
      </c>
      <c r="D25" s="246">
        <f>'P5 - DESPESA COM BENEFICIO SOCI'!G6</f>
        <v>1920</v>
      </c>
      <c r="E25" s="247">
        <v>12</v>
      </c>
      <c r="F25" s="215" t="s">
        <v>414</v>
      </c>
      <c r="G25" s="246">
        <f t="shared" ref="G25:G26" si="4">D25*E25</f>
        <v>23040</v>
      </c>
      <c r="H25" s="270">
        <f t="shared" si="3"/>
        <v>6.9487927376610066E-3</v>
      </c>
    </row>
    <row r="26" spans="1:8" s="8" customFormat="1" ht="15" customHeight="1" x14ac:dyDescent="0.25">
      <c r="A26" s="236" t="s">
        <v>39</v>
      </c>
      <c r="B26" s="238" t="str">
        <f>'P5 - DESPESA COM BENEFICIO SOCI'!C7</f>
        <v>Pessoal de Manutenção</v>
      </c>
      <c r="C26" s="241" t="s">
        <v>85</v>
      </c>
      <c r="D26" s="246">
        <f>'P5 - DESPESA COM BENEFICIO SOCI'!G7</f>
        <v>1440</v>
      </c>
      <c r="E26" s="247">
        <v>12</v>
      </c>
      <c r="F26" s="242" t="s">
        <v>414</v>
      </c>
      <c r="G26" s="246">
        <f t="shared" si="4"/>
        <v>17280</v>
      </c>
      <c r="H26" s="270">
        <f t="shared" si="3"/>
        <v>5.2115945532457547E-3</v>
      </c>
    </row>
    <row r="27" spans="1:8" s="8" customFormat="1" ht="15" customHeight="1" x14ac:dyDescent="0.25">
      <c r="A27" s="534" t="s">
        <v>435</v>
      </c>
      <c r="B27" s="535"/>
      <c r="C27" s="255" t="s">
        <v>85</v>
      </c>
      <c r="D27" s="256">
        <f>SUM(D24:D26)</f>
        <v>16320</v>
      </c>
      <c r="E27" s="257">
        <v>12</v>
      </c>
      <c r="F27" s="255" t="s">
        <v>414</v>
      </c>
      <c r="G27" s="256">
        <f>SUM(G24:G26)</f>
        <v>195840</v>
      </c>
      <c r="H27" s="271">
        <f t="shared" si="3"/>
        <v>5.9064738270118558E-2</v>
      </c>
    </row>
    <row r="28" spans="1:8" s="8" customFormat="1" x14ac:dyDescent="0.25">
      <c r="A28" s="249" t="s">
        <v>257</v>
      </c>
      <c r="B28" s="572" t="s">
        <v>54</v>
      </c>
      <c r="C28" s="573"/>
      <c r="D28" s="573"/>
      <c r="E28" s="573"/>
      <c r="F28" s="573"/>
      <c r="G28" s="573"/>
      <c r="H28" s="574"/>
    </row>
    <row r="29" spans="1:8" s="8" customFormat="1" ht="15" customHeight="1" x14ac:dyDescent="0.25">
      <c r="A29" s="237" t="s">
        <v>28</v>
      </c>
      <c r="B29" s="238" t="str">
        <f>'P5 - DESPESA COM BENEFICIO SOCI'!C10</f>
        <v>Pessoal Operacional</v>
      </c>
      <c r="C29" s="245" t="s">
        <v>85</v>
      </c>
      <c r="D29" s="246">
        <f>'P5 - DESPESA COM BENEFICIO SOCI'!G10</f>
        <v>5184</v>
      </c>
      <c r="E29" s="247">
        <v>12</v>
      </c>
      <c r="F29" s="248" t="s">
        <v>414</v>
      </c>
      <c r="G29" s="246">
        <f t="shared" ref="G29:G31" si="5">D29*E29</f>
        <v>62208</v>
      </c>
      <c r="H29" s="270">
        <f t="shared" si="3"/>
        <v>1.8761740391684718E-2</v>
      </c>
    </row>
    <row r="30" spans="1:8" s="8" customFormat="1" ht="15" customHeight="1" x14ac:dyDescent="0.25">
      <c r="A30" s="222" t="s">
        <v>33</v>
      </c>
      <c r="B30" s="238" t="str">
        <f>'P5 - DESPESA COM BENEFICIO SOCI'!C11</f>
        <v>Pessoal Administrativo</v>
      </c>
      <c r="C30" s="214" t="s">
        <v>85</v>
      </c>
      <c r="D30" s="246">
        <f>'P5 - DESPESA COM BENEFICIO SOCI'!G11</f>
        <v>768</v>
      </c>
      <c r="E30" s="247">
        <v>12</v>
      </c>
      <c r="F30" s="215" t="s">
        <v>414</v>
      </c>
      <c r="G30" s="246">
        <f t="shared" si="5"/>
        <v>9216</v>
      </c>
      <c r="H30" s="270">
        <f t="shared" si="3"/>
        <v>2.7795170950644025E-3</v>
      </c>
    </row>
    <row r="31" spans="1:8" s="8" customFormat="1" ht="15" customHeight="1" x14ac:dyDescent="0.25">
      <c r="A31" s="236" t="s">
        <v>39</v>
      </c>
      <c r="B31" s="238" t="str">
        <f>'P5 - DESPESA COM BENEFICIO SOCI'!C12</f>
        <v>Pessoal de Manutenção</v>
      </c>
      <c r="C31" s="241" t="s">
        <v>85</v>
      </c>
      <c r="D31" s="246">
        <f>'P5 - DESPESA COM BENEFICIO SOCI'!G12</f>
        <v>576</v>
      </c>
      <c r="E31" s="247">
        <v>12</v>
      </c>
      <c r="F31" s="242" t="s">
        <v>414</v>
      </c>
      <c r="G31" s="246">
        <f t="shared" si="5"/>
        <v>6912</v>
      </c>
      <c r="H31" s="270">
        <f t="shared" si="3"/>
        <v>2.0846378212983018E-3</v>
      </c>
    </row>
    <row r="32" spans="1:8" s="8" customFormat="1" ht="15" customHeight="1" x14ac:dyDescent="0.25">
      <c r="A32" s="534" t="s">
        <v>439</v>
      </c>
      <c r="B32" s="535"/>
      <c r="C32" s="255" t="s">
        <v>85</v>
      </c>
      <c r="D32" s="256">
        <f>SUM(D29:D31)</f>
        <v>6528</v>
      </c>
      <c r="E32" s="257">
        <v>12</v>
      </c>
      <c r="F32" s="255" t="s">
        <v>414</v>
      </c>
      <c r="G32" s="256">
        <f>SUM(G29:G31)</f>
        <v>78336</v>
      </c>
      <c r="H32" s="271">
        <f t="shared" si="3"/>
        <v>2.3625895308047422E-2</v>
      </c>
    </row>
    <row r="33" spans="1:8" s="8" customFormat="1" ht="15" customHeight="1" x14ac:dyDescent="0.25">
      <c r="A33" s="249" t="s">
        <v>260</v>
      </c>
      <c r="B33" s="572" t="s">
        <v>56</v>
      </c>
      <c r="C33" s="573"/>
      <c r="D33" s="573"/>
      <c r="E33" s="573"/>
      <c r="F33" s="573"/>
      <c r="G33" s="573"/>
      <c r="H33" s="574"/>
    </row>
    <row r="34" spans="1:8" s="8" customFormat="1" ht="15" customHeight="1" x14ac:dyDescent="0.25">
      <c r="A34" s="237" t="s">
        <v>28</v>
      </c>
      <c r="B34" s="238" t="str">
        <f>'P5 - DESPESA COM BENEFICIO SOCI'!C15</f>
        <v>Pessoal Operacional</v>
      </c>
      <c r="C34" s="245" t="s">
        <v>85</v>
      </c>
      <c r="D34" s="246">
        <f>'P5 - DESPESA COM BENEFICIO SOCI'!G15</f>
        <v>4050</v>
      </c>
      <c r="E34" s="247">
        <v>12</v>
      </c>
      <c r="F34" s="248" t="s">
        <v>414</v>
      </c>
      <c r="G34" s="246">
        <f t="shared" ref="G34:G36" si="6">D34*E34</f>
        <v>48600</v>
      </c>
      <c r="H34" s="270">
        <f t="shared" si="3"/>
        <v>1.4657609681003686E-2</v>
      </c>
    </row>
    <row r="35" spans="1:8" s="8" customFormat="1" ht="15" customHeight="1" x14ac:dyDescent="0.25">
      <c r="A35" s="222" t="s">
        <v>33</v>
      </c>
      <c r="B35" s="238" t="str">
        <f>'P5 - DESPESA COM BENEFICIO SOCI'!C16</f>
        <v>Pessoal Administrativo</v>
      </c>
      <c r="C35" s="214" t="s">
        <v>85</v>
      </c>
      <c r="D35" s="246">
        <f>'P5 - DESPESA COM BENEFICIO SOCI'!G16</f>
        <v>600</v>
      </c>
      <c r="E35" s="247">
        <v>12</v>
      </c>
      <c r="F35" s="215" t="s">
        <v>414</v>
      </c>
      <c r="G35" s="246">
        <f t="shared" si="6"/>
        <v>7200</v>
      </c>
      <c r="H35" s="270">
        <f t="shared" si="3"/>
        <v>2.1714977305190646E-3</v>
      </c>
    </row>
    <row r="36" spans="1:8" s="8" customFormat="1" ht="15" customHeight="1" x14ac:dyDescent="0.25">
      <c r="A36" s="236" t="s">
        <v>39</v>
      </c>
      <c r="B36" s="238" t="str">
        <f>'P5 - DESPESA COM BENEFICIO SOCI'!C17</f>
        <v>Pessoal de Manutenção</v>
      </c>
      <c r="C36" s="241" t="s">
        <v>85</v>
      </c>
      <c r="D36" s="246">
        <f>'P5 - DESPESA COM BENEFICIO SOCI'!G17</f>
        <v>450</v>
      </c>
      <c r="E36" s="247">
        <v>12</v>
      </c>
      <c r="F36" s="242" t="s">
        <v>414</v>
      </c>
      <c r="G36" s="246">
        <f t="shared" si="6"/>
        <v>5400</v>
      </c>
      <c r="H36" s="270">
        <f t="shared" si="3"/>
        <v>1.6286232978892983E-3</v>
      </c>
    </row>
    <row r="37" spans="1:8" s="8" customFormat="1" ht="15" customHeight="1" x14ac:dyDescent="0.25">
      <c r="A37" s="534" t="s">
        <v>440</v>
      </c>
      <c r="B37" s="535"/>
      <c r="C37" s="255" t="s">
        <v>85</v>
      </c>
      <c r="D37" s="256">
        <f>SUM(D34:D36)</f>
        <v>5100</v>
      </c>
      <c r="E37" s="257">
        <v>12</v>
      </c>
      <c r="F37" s="255" t="s">
        <v>414</v>
      </c>
      <c r="G37" s="256">
        <f>SUM(G34:G36)</f>
        <v>61200</v>
      </c>
      <c r="H37" s="271">
        <f t="shared" si="3"/>
        <v>1.8457730709412049E-2</v>
      </c>
    </row>
    <row r="38" spans="1:8" s="8" customFormat="1" ht="16.5" customHeight="1" x14ac:dyDescent="0.25">
      <c r="A38" s="249" t="s">
        <v>261</v>
      </c>
      <c r="B38" s="572" t="s">
        <v>57</v>
      </c>
      <c r="C38" s="573"/>
      <c r="D38" s="573"/>
      <c r="E38" s="573"/>
      <c r="F38" s="573"/>
      <c r="G38" s="573"/>
      <c r="H38" s="574"/>
    </row>
    <row r="39" spans="1:8" s="8" customFormat="1" ht="15" customHeight="1" x14ac:dyDescent="0.25">
      <c r="A39" s="237" t="s">
        <v>28</v>
      </c>
      <c r="B39" s="238" t="str">
        <f>'P5 - DESPESA COM BENEFICIO SOCI'!C20</f>
        <v>Pessoal Operacional</v>
      </c>
      <c r="C39" s="245" t="s">
        <v>85</v>
      </c>
      <c r="D39" s="246">
        <f>'P5 - DESPESA COM BENEFICIO SOCI'!G20</f>
        <v>1215</v>
      </c>
      <c r="E39" s="247">
        <v>12</v>
      </c>
      <c r="F39" s="248" t="s">
        <v>414</v>
      </c>
      <c r="G39" s="246">
        <f t="shared" ref="G39:G41" si="7">D39*E39</f>
        <v>14580</v>
      </c>
      <c r="H39" s="270">
        <f t="shared" si="3"/>
        <v>4.397282904301106E-3</v>
      </c>
    </row>
    <row r="40" spans="1:8" s="8" customFormat="1" ht="15" customHeight="1" x14ac:dyDescent="0.25">
      <c r="A40" s="222" t="s">
        <v>33</v>
      </c>
      <c r="B40" s="238" t="str">
        <f>'P5 - DESPESA COM BENEFICIO SOCI'!C21</f>
        <v>Pessoal Administrativo</v>
      </c>
      <c r="C40" s="214" t="s">
        <v>85</v>
      </c>
      <c r="D40" s="246">
        <f>'P5 - DESPESA COM BENEFICIO SOCI'!G21</f>
        <v>180</v>
      </c>
      <c r="E40" s="247">
        <v>12</v>
      </c>
      <c r="F40" s="215" t="s">
        <v>414</v>
      </c>
      <c r="G40" s="246">
        <f t="shared" si="7"/>
        <v>2160</v>
      </c>
      <c r="H40" s="270">
        <f t="shared" si="3"/>
        <v>6.5144931915571934E-4</v>
      </c>
    </row>
    <row r="41" spans="1:8" s="8" customFormat="1" ht="15" customHeight="1" x14ac:dyDescent="0.25">
      <c r="A41" s="236" t="s">
        <v>39</v>
      </c>
      <c r="B41" s="238" t="str">
        <f>'P5 - DESPESA COM BENEFICIO SOCI'!C22</f>
        <v>Pessoal de Manutenção</v>
      </c>
      <c r="C41" s="241" t="s">
        <v>85</v>
      </c>
      <c r="D41" s="246">
        <f>'P5 - DESPESA COM BENEFICIO SOCI'!G22</f>
        <v>135</v>
      </c>
      <c r="E41" s="247">
        <v>12</v>
      </c>
      <c r="F41" s="242" t="s">
        <v>414</v>
      </c>
      <c r="G41" s="246">
        <f t="shared" si="7"/>
        <v>1620</v>
      </c>
      <c r="H41" s="270">
        <f t="shared" si="3"/>
        <v>4.885869893667895E-4</v>
      </c>
    </row>
    <row r="42" spans="1:8" s="8" customFormat="1" ht="15" customHeight="1" x14ac:dyDescent="0.25">
      <c r="A42" s="534" t="s">
        <v>441</v>
      </c>
      <c r="B42" s="535"/>
      <c r="C42" s="255" t="s">
        <v>85</v>
      </c>
      <c r="D42" s="256">
        <f>SUM(D39:D41)</f>
        <v>1530</v>
      </c>
      <c r="E42" s="257">
        <v>12</v>
      </c>
      <c r="F42" s="255" t="s">
        <v>414</v>
      </c>
      <c r="G42" s="256">
        <f>SUM(G39:G41)</f>
        <v>18360</v>
      </c>
      <c r="H42" s="271">
        <f t="shared" si="3"/>
        <v>5.5373192128236144E-3</v>
      </c>
    </row>
    <row r="43" spans="1:8" x14ac:dyDescent="0.25">
      <c r="A43" s="249" t="s">
        <v>265</v>
      </c>
      <c r="B43" s="572" t="s">
        <v>61</v>
      </c>
      <c r="C43" s="573"/>
      <c r="D43" s="573"/>
      <c r="E43" s="573"/>
      <c r="F43" s="573"/>
      <c r="G43" s="573"/>
      <c r="H43" s="574"/>
    </row>
    <row r="44" spans="1:8" ht="15" customHeight="1" x14ac:dyDescent="0.25">
      <c r="A44" s="237" t="s">
        <v>28</v>
      </c>
      <c r="B44" s="238" t="str">
        <f>'P5 - DESPESA COM BENEFICIO SOCI'!C25</f>
        <v>Calça</v>
      </c>
      <c r="C44" s="245" t="s">
        <v>85</v>
      </c>
      <c r="D44" s="246">
        <f>'P5 - DESPESA COM BENEFICIO SOCI'!G25</f>
        <v>906.66666666666663</v>
      </c>
      <c r="E44" s="247">
        <v>12</v>
      </c>
      <c r="F44" s="248" t="s">
        <v>414</v>
      </c>
      <c r="G44" s="246">
        <f t="shared" ref="G44:G51" si="8">D44*E44</f>
        <v>10880</v>
      </c>
      <c r="H44" s="270">
        <f t="shared" si="3"/>
        <v>3.2813743483399199E-3</v>
      </c>
    </row>
    <row r="45" spans="1:8" ht="15" customHeight="1" x14ac:dyDescent="0.25">
      <c r="A45" s="222" t="s">
        <v>33</v>
      </c>
      <c r="B45" s="238" t="str">
        <f>'P5 - DESPESA COM BENEFICIO SOCI'!C26</f>
        <v>Camisa</v>
      </c>
      <c r="C45" s="214" t="s">
        <v>85</v>
      </c>
      <c r="D45" s="246">
        <f>'P5 - DESPESA COM BENEFICIO SOCI'!G26</f>
        <v>566.66666666666663</v>
      </c>
      <c r="E45" s="247">
        <v>12</v>
      </c>
      <c r="F45" s="215" t="s">
        <v>414</v>
      </c>
      <c r="G45" s="246">
        <f t="shared" si="8"/>
        <v>6800</v>
      </c>
      <c r="H45" s="270">
        <f t="shared" si="3"/>
        <v>2.0508589677124497E-3</v>
      </c>
    </row>
    <row r="46" spans="1:8" ht="15" customHeight="1" x14ac:dyDescent="0.25">
      <c r="A46" s="222" t="s">
        <v>39</v>
      </c>
      <c r="B46" s="238" t="str">
        <f>'P5 - DESPESA COM BENEFICIO SOCI'!C27</f>
        <v>Par de Sapatos</v>
      </c>
      <c r="C46" s="214" t="s">
        <v>85</v>
      </c>
      <c r="D46" s="246">
        <f>'P5 - DESPESA COM BENEFICIO SOCI'!G27</f>
        <v>566.66666666666663</v>
      </c>
      <c r="E46" s="247">
        <v>12</v>
      </c>
      <c r="F46" s="215" t="s">
        <v>414</v>
      </c>
      <c r="G46" s="246">
        <f t="shared" si="8"/>
        <v>6800</v>
      </c>
      <c r="H46" s="270">
        <f t="shared" si="3"/>
        <v>2.0508589677124497E-3</v>
      </c>
    </row>
    <row r="47" spans="1:8" ht="15" customHeight="1" x14ac:dyDescent="0.25">
      <c r="A47" s="222" t="s">
        <v>40</v>
      </c>
      <c r="B47" s="238" t="str">
        <f>'P5 - DESPESA COM BENEFICIO SOCI'!C28</f>
        <v>Colete</v>
      </c>
      <c r="C47" s="214" t="s">
        <v>85</v>
      </c>
      <c r="D47" s="246">
        <f>'P5 - DESPESA COM BENEFICIO SOCI'!G28</f>
        <v>135</v>
      </c>
      <c r="E47" s="247">
        <v>12</v>
      </c>
      <c r="F47" s="215" t="s">
        <v>414</v>
      </c>
      <c r="G47" s="246">
        <f t="shared" si="8"/>
        <v>1620</v>
      </c>
      <c r="H47" s="270">
        <f t="shared" si="3"/>
        <v>4.885869893667895E-4</v>
      </c>
    </row>
    <row r="48" spans="1:8" ht="15" customHeight="1" x14ac:dyDescent="0.25">
      <c r="A48" s="222" t="s">
        <v>41</v>
      </c>
      <c r="B48" s="238" t="str">
        <f>'P5 - DESPESA COM BENEFICIO SOCI'!C29</f>
        <v>Bota</v>
      </c>
      <c r="C48" s="214" t="s">
        <v>85</v>
      </c>
      <c r="D48" s="246">
        <f>'P5 - DESPESA COM BENEFICIO SOCI'!G29</f>
        <v>450</v>
      </c>
      <c r="E48" s="247">
        <v>12</v>
      </c>
      <c r="F48" s="215" t="s">
        <v>414</v>
      </c>
      <c r="G48" s="246">
        <f t="shared" si="8"/>
        <v>5400</v>
      </c>
      <c r="H48" s="270">
        <f t="shared" si="3"/>
        <v>1.6286232978892983E-3</v>
      </c>
    </row>
    <row r="49" spans="1:8" ht="15" customHeight="1" x14ac:dyDescent="0.25">
      <c r="A49" s="222" t="s">
        <v>42</v>
      </c>
      <c r="B49" s="238" t="str">
        <f>'P5 - DESPESA COM BENEFICIO SOCI'!C30</f>
        <v>Capa de Chuva</v>
      </c>
      <c r="C49" s="214" t="s">
        <v>85</v>
      </c>
      <c r="D49" s="246">
        <f>'P5 - DESPESA COM BENEFICIO SOCI'!G30</f>
        <v>585</v>
      </c>
      <c r="E49" s="247">
        <v>12</v>
      </c>
      <c r="F49" s="215" t="s">
        <v>414</v>
      </c>
      <c r="G49" s="246">
        <f t="shared" si="8"/>
        <v>7020</v>
      </c>
      <c r="H49" s="270">
        <f t="shared" si="3"/>
        <v>2.1172102872560879E-3</v>
      </c>
    </row>
    <row r="50" spans="1:8" ht="15" customHeight="1" x14ac:dyDescent="0.25">
      <c r="A50" s="222" t="s">
        <v>43</v>
      </c>
      <c r="B50" s="238" t="str">
        <f>'P5 - DESPESA COM BENEFICIO SOCI'!C31</f>
        <v>Boné</v>
      </c>
      <c r="C50" s="214" t="s">
        <v>85</v>
      </c>
      <c r="D50" s="246">
        <f>'P5 - DESPESA COM BENEFICIO SOCI'!G31</f>
        <v>170</v>
      </c>
      <c r="E50" s="247">
        <v>12</v>
      </c>
      <c r="F50" s="215" t="s">
        <v>414</v>
      </c>
      <c r="G50" s="246">
        <f t="shared" si="8"/>
        <v>2040</v>
      </c>
      <c r="H50" s="270">
        <f t="shared" si="3"/>
        <v>6.1525769031373491E-4</v>
      </c>
    </row>
    <row r="51" spans="1:8" ht="15" customHeight="1" x14ac:dyDescent="0.25">
      <c r="A51" s="222" t="s">
        <v>70</v>
      </c>
      <c r="B51" s="238" t="str">
        <f>'P5 - DESPESA COM BENEFICIO SOCI'!C32</f>
        <v>Jaqueta</v>
      </c>
      <c r="C51" s="214" t="s">
        <v>85</v>
      </c>
      <c r="D51" s="246">
        <f>'P5 - DESPESA COM BENEFICIO SOCI'!G32</f>
        <v>425</v>
      </c>
      <c r="E51" s="247">
        <v>12</v>
      </c>
      <c r="F51" s="215" t="s">
        <v>414</v>
      </c>
      <c r="G51" s="246">
        <f t="shared" si="8"/>
        <v>5100</v>
      </c>
      <c r="H51" s="270">
        <f t="shared" si="3"/>
        <v>1.5381442257843374E-3</v>
      </c>
    </row>
    <row r="52" spans="1:8" s="8" customFormat="1" ht="15" customHeight="1" x14ac:dyDescent="0.25">
      <c r="A52" s="534" t="s">
        <v>442</v>
      </c>
      <c r="B52" s="535"/>
      <c r="C52" s="255" t="s">
        <v>85</v>
      </c>
      <c r="D52" s="256">
        <f>SUM(D44:D51)</f>
        <v>3805</v>
      </c>
      <c r="E52" s="257">
        <v>12</v>
      </c>
      <c r="F52" s="255" t="s">
        <v>414</v>
      </c>
      <c r="G52" s="256">
        <f>SUM(G44:G51)</f>
        <v>45660</v>
      </c>
      <c r="H52" s="271">
        <f t="shared" si="3"/>
        <v>1.3770914774375068E-2</v>
      </c>
    </row>
    <row r="53" spans="1:8" x14ac:dyDescent="0.25">
      <c r="A53" s="249" t="s">
        <v>268</v>
      </c>
      <c r="B53" s="572" t="s">
        <v>72</v>
      </c>
      <c r="C53" s="573"/>
      <c r="D53" s="573"/>
      <c r="E53" s="573"/>
      <c r="F53" s="573"/>
      <c r="G53" s="573"/>
      <c r="H53" s="574"/>
    </row>
    <row r="54" spans="1:8" ht="15" customHeight="1" x14ac:dyDescent="0.25">
      <c r="A54" s="222" t="s">
        <v>28</v>
      </c>
      <c r="B54" s="218" t="str">
        <f>'P5 - DESPESA COM BENEFICIO SOCI'!C35</f>
        <v>Protetor Solar FPS 30 (120ml)</v>
      </c>
      <c r="C54" s="214" t="s">
        <v>85</v>
      </c>
      <c r="D54" s="239">
        <f>'P5 - DESPESA COM BENEFICIO SOCI'!G35</f>
        <v>180</v>
      </c>
      <c r="E54" s="247">
        <v>12</v>
      </c>
      <c r="F54" s="215" t="s">
        <v>414</v>
      </c>
      <c r="G54" s="239">
        <f>D54*E54</f>
        <v>2160</v>
      </c>
      <c r="H54" s="270">
        <f t="shared" si="3"/>
        <v>6.5144931915571934E-4</v>
      </c>
    </row>
    <row r="55" spans="1:8" s="8" customFormat="1" ht="15" customHeight="1" x14ac:dyDescent="0.25">
      <c r="A55" s="534" t="s">
        <v>443</v>
      </c>
      <c r="B55" s="535"/>
      <c r="C55" s="255" t="s">
        <v>85</v>
      </c>
      <c r="D55" s="256">
        <f>D54</f>
        <v>180</v>
      </c>
      <c r="E55" s="257">
        <v>12</v>
      </c>
      <c r="F55" s="255" t="s">
        <v>414</v>
      </c>
      <c r="G55" s="256">
        <f>G54</f>
        <v>2160</v>
      </c>
      <c r="H55" s="271">
        <f t="shared" si="3"/>
        <v>6.5144931915571934E-4</v>
      </c>
    </row>
    <row r="56" spans="1:8" s="8" customFormat="1" ht="15" customHeight="1" x14ac:dyDescent="0.25">
      <c r="A56" s="536" t="s">
        <v>444</v>
      </c>
      <c r="B56" s="537"/>
      <c r="C56" s="258" t="s">
        <v>85</v>
      </c>
      <c r="D56" s="259">
        <f>D55+D52+D42+D37+D32+D27</f>
        <v>33463</v>
      </c>
      <c r="E56" s="260">
        <v>12</v>
      </c>
      <c r="F56" s="258" t="s">
        <v>414</v>
      </c>
      <c r="G56" s="259">
        <f>G55+G52+G42+G37+G32+G27</f>
        <v>401556</v>
      </c>
      <c r="H56" s="272">
        <f t="shared" si="3"/>
        <v>0.12110804759393243</v>
      </c>
    </row>
    <row r="57" spans="1:8" s="8" customFormat="1" ht="7.5" customHeight="1" x14ac:dyDescent="0.25">
      <c r="A57" s="262"/>
      <c r="B57" s="263"/>
      <c r="C57" s="264"/>
      <c r="D57" s="265"/>
      <c r="E57" s="266"/>
      <c r="F57" s="264"/>
      <c r="G57" s="267"/>
      <c r="H57" s="268"/>
    </row>
    <row r="58" spans="1:8" x14ac:dyDescent="0.25">
      <c r="A58" s="221" t="s">
        <v>397</v>
      </c>
      <c r="B58" s="545" t="s">
        <v>411</v>
      </c>
      <c r="C58" s="546"/>
      <c r="D58" s="546"/>
      <c r="E58" s="546"/>
      <c r="F58" s="546"/>
      <c r="G58" s="546"/>
      <c r="H58" s="547"/>
    </row>
    <row r="59" spans="1:8" ht="15" customHeight="1" x14ac:dyDescent="0.25">
      <c r="A59" s="249" t="s">
        <v>398</v>
      </c>
      <c r="B59" s="572" t="s">
        <v>82</v>
      </c>
      <c r="C59" s="573"/>
      <c r="D59" s="573"/>
      <c r="E59" s="573"/>
      <c r="F59" s="573"/>
      <c r="G59" s="573"/>
      <c r="H59" s="574"/>
    </row>
    <row r="60" spans="1:8" ht="15" customHeight="1" x14ac:dyDescent="0.25">
      <c r="A60" s="223" t="s">
        <v>28</v>
      </c>
      <c r="B60" s="219" t="str">
        <f>'P6-DESPESA GERAL'!C5</f>
        <v>Aluguel de Instalações, Venda e Comercial</v>
      </c>
      <c r="C60" s="214" t="s">
        <v>85</v>
      </c>
      <c r="D60" s="239">
        <f>'P6-DESPESA GERAL'!G5</f>
        <v>4000</v>
      </c>
      <c r="E60" s="240">
        <v>12</v>
      </c>
      <c r="F60" s="215" t="s">
        <v>414</v>
      </c>
      <c r="G60" s="239">
        <f>D60*E60</f>
        <v>48000</v>
      </c>
      <c r="H60" s="270">
        <f t="shared" ref="H60:H90" si="9">G60/$G$116</f>
        <v>1.4476651536793764E-2</v>
      </c>
    </row>
    <row r="61" spans="1:8" ht="15" customHeight="1" x14ac:dyDescent="0.25">
      <c r="A61" s="222" t="s">
        <v>33</v>
      </c>
      <c r="B61" s="219" t="str">
        <f>'P6-DESPESA GERAL'!C6</f>
        <v>Telefone Fixo + Internet</v>
      </c>
      <c r="C61" s="214" t="s">
        <v>85</v>
      </c>
      <c r="D61" s="239">
        <f>'P6-DESPESA GERAL'!G6</f>
        <v>280</v>
      </c>
      <c r="E61" s="240">
        <v>12</v>
      </c>
      <c r="F61" s="215" t="s">
        <v>414</v>
      </c>
      <c r="G61" s="239">
        <f t="shared" ref="G61:G69" si="10">D61*E61</f>
        <v>3360</v>
      </c>
      <c r="H61" s="270">
        <f t="shared" si="9"/>
        <v>1.0133656075755634E-3</v>
      </c>
    </row>
    <row r="62" spans="1:8" ht="15" customHeight="1" x14ac:dyDescent="0.25">
      <c r="A62" s="222" t="s">
        <v>39</v>
      </c>
      <c r="B62" s="219" t="str">
        <f>'P6-DESPESA GERAL'!C7</f>
        <v>Internet (P.O.S - Chip)</v>
      </c>
      <c r="C62" s="214" t="s">
        <v>85</v>
      </c>
      <c r="D62" s="239">
        <f>'P6-DESPESA GERAL'!G7</f>
        <v>945</v>
      </c>
      <c r="E62" s="240">
        <v>12</v>
      </c>
      <c r="F62" s="215" t="s">
        <v>414</v>
      </c>
      <c r="G62" s="239">
        <f t="shared" si="10"/>
        <v>11340</v>
      </c>
      <c r="H62" s="270">
        <f t="shared" si="9"/>
        <v>3.4201089255675265E-3</v>
      </c>
    </row>
    <row r="63" spans="1:8" ht="15" customHeight="1" x14ac:dyDescent="0.25">
      <c r="A63" s="222" t="s">
        <v>40</v>
      </c>
      <c r="B63" s="219" t="str">
        <f>'P6-DESPESA GERAL'!C8</f>
        <v>Energia Elétrica</v>
      </c>
      <c r="C63" s="214" t="s">
        <v>85</v>
      </c>
      <c r="D63" s="239">
        <f>'P6-DESPESA GERAL'!G8</f>
        <v>1200</v>
      </c>
      <c r="E63" s="240">
        <v>12</v>
      </c>
      <c r="F63" s="215" t="s">
        <v>414</v>
      </c>
      <c r="G63" s="239">
        <f t="shared" si="10"/>
        <v>14400</v>
      </c>
      <c r="H63" s="270">
        <f t="shared" si="9"/>
        <v>4.3429954610381292E-3</v>
      </c>
    </row>
    <row r="64" spans="1:8" ht="15" customHeight="1" x14ac:dyDescent="0.25">
      <c r="A64" s="222" t="s">
        <v>41</v>
      </c>
      <c r="B64" s="219" t="str">
        <f>'P6-DESPESA GERAL'!C9</f>
        <v>Água e Esgoto</v>
      </c>
      <c r="C64" s="214" t="s">
        <v>85</v>
      </c>
      <c r="D64" s="239">
        <f>'P6-DESPESA GERAL'!G9</f>
        <v>250</v>
      </c>
      <c r="E64" s="240">
        <v>12</v>
      </c>
      <c r="F64" s="215" t="s">
        <v>414</v>
      </c>
      <c r="G64" s="239">
        <f t="shared" si="10"/>
        <v>3000</v>
      </c>
      <c r="H64" s="270">
        <f t="shared" si="9"/>
        <v>9.0479072104961025E-4</v>
      </c>
    </row>
    <row r="65" spans="1:8" ht="15" customHeight="1" x14ac:dyDescent="0.25">
      <c r="A65" s="222" t="s">
        <v>42</v>
      </c>
      <c r="B65" s="219" t="str">
        <f>'P6-DESPESA GERAL'!C10</f>
        <v>Propaganda e Publicidade</v>
      </c>
      <c r="C65" s="214" t="s">
        <v>85</v>
      </c>
      <c r="D65" s="239">
        <f>'P6-DESPESA GERAL'!G10</f>
        <v>2500</v>
      </c>
      <c r="E65" s="240">
        <v>12</v>
      </c>
      <c r="F65" s="215" t="s">
        <v>414</v>
      </c>
      <c r="G65" s="239">
        <f t="shared" si="10"/>
        <v>30000</v>
      </c>
      <c r="H65" s="270">
        <f t="shared" si="9"/>
        <v>9.0479072104961023E-3</v>
      </c>
    </row>
    <row r="66" spans="1:8" ht="15" customHeight="1" x14ac:dyDescent="0.25">
      <c r="A66" s="222" t="s">
        <v>43</v>
      </c>
      <c r="B66" s="219" t="str">
        <f>'P6-DESPESA GERAL'!C11</f>
        <v>Seguro Patrimonial</v>
      </c>
      <c r="C66" s="214" t="s">
        <v>85</v>
      </c>
      <c r="D66" s="239">
        <f>'P6-DESPESA GERAL'!G11</f>
        <v>500</v>
      </c>
      <c r="E66" s="240">
        <v>12</v>
      </c>
      <c r="F66" s="215" t="s">
        <v>414</v>
      </c>
      <c r="G66" s="239">
        <f t="shared" si="10"/>
        <v>6000</v>
      </c>
      <c r="H66" s="270">
        <f t="shared" si="9"/>
        <v>1.8095814420992205E-3</v>
      </c>
    </row>
    <row r="67" spans="1:8" ht="15" customHeight="1" x14ac:dyDescent="0.25">
      <c r="A67" s="222" t="s">
        <v>70</v>
      </c>
      <c r="B67" s="219" t="str">
        <f>'P6-DESPESA GERAL'!C12</f>
        <v>Material de Expediente (bobina, etc.)</v>
      </c>
      <c r="C67" s="214" t="s">
        <v>85</v>
      </c>
      <c r="D67" s="239">
        <f>'P6-DESPESA GERAL'!G12</f>
        <v>300</v>
      </c>
      <c r="E67" s="240">
        <v>12</v>
      </c>
      <c r="F67" s="215" t="s">
        <v>414</v>
      </c>
      <c r="G67" s="239">
        <f t="shared" si="10"/>
        <v>3600</v>
      </c>
      <c r="H67" s="270">
        <f t="shared" si="9"/>
        <v>1.0857488652595323E-3</v>
      </c>
    </row>
    <row r="68" spans="1:8" ht="15.75" customHeight="1" x14ac:dyDescent="0.25">
      <c r="A68" s="222" t="s">
        <v>83</v>
      </c>
      <c r="B68" s="219" t="str">
        <f>'P6-DESPESA GERAL'!C13</f>
        <v>Material de Limpeza e Conservação</v>
      </c>
      <c r="C68" s="214" t="s">
        <v>85</v>
      </c>
      <c r="D68" s="239">
        <f>'P6-DESPESA GERAL'!G13</f>
        <v>300</v>
      </c>
      <c r="E68" s="240">
        <v>12</v>
      </c>
      <c r="F68" s="215" t="s">
        <v>414</v>
      </c>
      <c r="G68" s="239">
        <f t="shared" si="10"/>
        <v>3600</v>
      </c>
      <c r="H68" s="270">
        <f t="shared" si="9"/>
        <v>1.0857488652595323E-3</v>
      </c>
    </row>
    <row r="69" spans="1:8" ht="15" customHeight="1" x14ac:dyDescent="0.25">
      <c r="A69" s="222" t="s">
        <v>143</v>
      </c>
      <c r="B69" s="219" t="str">
        <f>'P6-DESPESA GERAL'!C14</f>
        <v>Outras despesas</v>
      </c>
      <c r="C69" s="214" t="s">
        <v>85</v>
      </c>
      <c r="D69" s="239">
        <f>'P6-DESPESA GERAL'!G14</f>
        <v>1000</v>
      </c>
      <c r="E69" s="240">
        <v>12</v>
      </c>
      <c r="F69" s="215" t="s">
        <v>414</v>
      </c>
      <c r="G69" s="239">
        <f t="shared" si="10"/>
        <v>12000</v>
      </c>
      <c r="H69" s="270">
        <f t="shared" si="9"/>
        <v>3.619162884198441E-3</v>
      </c>
    </row>
    <row r="70" spans="1:8" s="8" customFormat="1" ht="15" customHeight="1" x14ac:dyDescent="0.25">
      <c r="A70" s="534" t="s">
        <v>445</v>
      </c>
      <c r="B70" s="535"/>
      <c r="C70" s="255" t="s">
        <v>85</v>
      </c>
      <c r="D70" s="256">
        <f>SUM(D60:D69)</f>
        <v>11275</v>
      </c>
      <c r="E70" s="257">
        <v>12</v>
      </c>
      <c r="F70" s="255" t="s">
        <v>414</v>
      </c>
      <c r="G70" s="256">
        <f>SUM(G60:G69)</f>
        <v>135300</v>
      </c>
      <c r="H70" s="271">
        <f t="shared" si="9"/>
        <v>4.0806061519337418E-2</v>
      </c>
    </row>
    <row r="71" spans="1:8" ht="15" customHeight="1" x14ac:dyDescent="0.25">
      <c r="A71" s="249" t="s">
        <v>399</v>
      </c>
      <c r="B71" s="572" t="s">
        <v>95</v>
      </c>
      <c r="C71" s="573"/>
      <c r="D71" s="573"/>
      <c r="E71" s="573"/>
      <c r="F71" s="573"/>
      <c r="G71" s="573"/>
      <c r="H71" s="574"/>
    </row>
    <row r="72" spans="1:8" ht="15" customHeight="1" x14ac:dyDescent="0.25">
      <c r="A72" s="222" t="s">
        <v>28</v>
      </c>
      <c r="B72" s="218" t="str">
        <f>'P6-DESPESA GERAL'!C21</f>
        <v>Honorários Advocatícios</v>
      </c>
      <c r="C72" s="214" t="s">
        <v>85</v>
      </c>
      <c r="D72" s="239">
        <f>'P6-DESPESA GERAL'!G21</f>
        <v>6000</v>
      </c>
      <c r="E72" s="240">
        <v>12</v>
      </c>
      <c r="F72" s="215" t="s">
        <v>414</v>
      </c>
      <c r="G72" s="239">
        <f>D72*E72</f>
        <v>72000</v>
      </c>
      <c r="H72" s="270">
        <f t="shared" si="9"/>
        <v>2.1714977305190647E-2</v>
      </c>
    </row>
    <row r="73" spans="1:8" ht="15" customHeight="1" x14ac:dyDescent="0.25">
      <c r="A73" s="222" t="s">
        <v>33</v>
      </c>
      <c r="B73" s="218" t="str">
        <f>'P6-DESPESA GERAL'!C22</f>
        <v>Honorários Contábeis</v>
      </c>
      <c r="C73" s="214" t="s">
        <v>85</v>
      </c>
      <c r="D73" s="239">
        <f>'P6-DESPESA GERAL'!G22</f>
        <v>3000</v>
      </c>
      <c r="E73" s="240">
        <v>12</v>
      </c>
      <c r="F73" s="215" t="s">
        <v>414</v>
      </c>
      <c r="G73" s="239">
        <f t="shared" ref="G73:G77" si="11">D73*E73</f>
        <v>36000</v>
      </c>
      <c r="H73" s="270">
        <f t="shared" si="9"/>
        <v>1.0857488652595323E-2</v>
      </c>
    </row>
    <row r="74" spans="1:8" ht="15" customHeight="1" x14ac:dyDescent="0.25">
      <c r="A74" s="222" t="s">
        <v>39</v>
      </c>
      <c r="B74" s="218" t="str">
        <f>'P6-DESPESA GERAL'!C23</f>
        <v>Mão-de-obra especializada</v>
      </c>
      <c r="C74" s="214" t="s">
        <v>85</v>
      </c>
      <c r="D74" s="239">
        <f>'P6-DESPESA GERAL'!G23</f>
        <v>1000</v>
      </c>
      <c r="E74" s="240">
        <v>12</v>
      </c>
      <c r="F74" s="215" t="s">
        <v>414</v>
      </c>
      <c r="G74" s="239">
        <f t="shared" si="11"/>
        <v>12000</v>
      </c>
      <c r="H74" s="270">
        <f t="shared" si="9"/>
        <v>3.619162884198441E-3</v>
      </c>
    </row>
    <row r="75" spans="1:8" ht="15" customHeight="1" x14ac:dyDescent="0.25">
      <c r="A75" s="222" t="s">
        <v>40</v>
      </c>
      <c r="B75" s="218" t="str">
        <f>'P6-DESPESA GERAL'!C24</f>
        <v>Exames médico - Admissional e Dimensional</v>
      </c>
      <c r="C75" s="214" t="s">
        <v>85</v>
      </c>
      <c r="D75" s="239">
        <f>'P6-DESPESA GERAL'!G24</f>
        <v>500</v>
      </c>
      <c r="E75" s="240">
        <v>12</v>
      </c>
      <c r="F75" s="215" t="s">
        <v>414</v>
      </c>
      <c r="G75" s="239">
        <f t="shared" si="11"/>
        <v>6000</v>
      </c>
      <c r="H75" s="270">
        <f t="shared" si="9"/>
        <v>1.8095814420992205E-3</v>
      </c>
    </row>
    <row r="76" spans="1:8" ht="15" customHeight="1" x14ac:dyDescent="0.25">
      <c r="A76" s="222" t="s">
        <v>41</v>
      </c>
      <c r="B76" s="218" t="str">
        <f>'P6-DESPESA GERAL'!C25</f>
        <v>Laudo de segurança do trabalho</v>
      </c>
      <c r="C76" s="214" t="s">
        <v>85</v>
      </c>
      <c r="D76" s="239">
        <f>'P6-DESPESA GERAL'!G25</f>
        <v>62.5</v>
      </c>
      <c r="E76" s="240">
        <v>12</v>
      </c>
      <c r="F76" s="215" t="s">
        <v>414</v>
      </c>
      <c r="G76" s="239">
        <f t="shared" si="11"/>
        <v>750</v>
      </c>
      <c r="H76" s="270">
        <f t="shared" si="9"/>
        <v>2.2619768026240256E-4</v>
      </c>
    </row>
    <row r="77" spans="1:8" ht="15" customHeight="1" x14ac:dyDescent="0.25">
      <c r="A77" s="222" t="s">
        <v>42</v>
      </c>
      <c r="B77" s="218" t="str">
        <f>'P6-DESPESA GERAL'!C26</f>
        <v>Vigilância Patrimonial</v>
      </c>
      <c r="C77" s="214" t="s">
        <v>85</v>
      </c>
      <c r="D77" s="239">
        <f>'P6-DESPESA GERAL'!G26</f>
        <v>500</v>
      </c>
      <c r="E77" s="240">
        <v>12</v>
      </c>
      <c r="F77" s="215" t="s">
        <v>414</v>
      </c>
      <c r="G77" s="239">
        <f t="shared" si="11"/>
        <v>6000</v>
      </c>
      <c r="H77" s="270">
        <f t="shared" si="9"/>
        <v>1.8095814420992205E-3</v>
      </c>
    </row>
    <row r="78" spans="1:8" s="8" customFormat="1" ht="15" customHeight="1" x14ac:dyDescent="0.25">
      <c r="A78" s="534" t="s">
        <v>446</v>
      </c>
      <c r="B78" s="535"/>
      <c r="C78" s="255" t="s">
        <v>85</v>
      </c>
      <c r="D78" s="256">
        <f>SUM(D72:D77)</f>
        <v>11062.5</v>
      </c>
      <c r="E78" s="257">
        <v>12</v>
      </c>
      <c r="F78" s="255" t="s">
        <v>414</v>
      </c>
      <c r="G78" s="256">
        <f>SUM(G72:G77)</f>
        <v>132750</v>
      </c>
      <c r="H78" s="271">
        <f t="shared" si="9"/>
        <v>4.0036989406445254E-2</v>
      </c>
    </row>
    <row r="79" spans="1:8" ht="15" customHeight="1" x14ac:dyDescent="0.25">
      <c r="A79" s="249" t="s">
        <v>400</v>
      </c>
      <c r="B79" s="572" t="s">
        <v>102</v>
      </c>
      <c r="C79" s="573"/>
      <c r="D79" s="573"/>
      <c r="E79" s="573"/>
      <c r="F79" s="573"/>
      <c r="G79" s="573"/>
      <c r="H79" s="574"/>
    </row>
    <row r="80" spans="1:8" ht="15" customHeight="1" x14ac:dyDescent="0.25">
      <c r="A80" s="222" t="s">
        <v>28</v>
      </c>
      <c r="B80" s="219" t="str">
        <f>'P6-DESPESA GERAL'!C33</f>
        <v>Manutenção de Equipamentos e Hardware</v>
      </c>
      <c r="C80" s="214" t="s">
        <v>85</v>
      </c>
      <c r="D80" s="239">
        <f>'P6-DESPESA GERAL'!G33</f>
        <v>750</v>
      </c>
      <c r="E80" s="240">
        <v>12</v>
      </c>
      <c r="F80" s="215" t="s">
        <v>414</v>
      </c>
      <c r="G80" s="239">
        <f>D80*E80</f>
        <v>9000</v>
      </c>
      <c r="H80" s="270">
        <f t="shared" si="9"/>
        <v>2.7143721631488309E-3</v>
      </c>
    </row>
    <row r="81" spans="1:8" ht="15" customHeight="1" x14ac:dyDescent="0.25">
      <c r="A81" s="222" t="s">
        <v>33</v>
      </c>
      <c r="B81" s="219" t="str">
        <f>'P6-DESPESA GERAL'!C34</f>
        <v>Manutenção Software</v>
      </c>
      <c r="C81" s="214" t="s">
        <v>85</v>
      </c>
      <c r="D81" s="239">
        <f>'P6-DESPESA GERAL'!G34</f>
        <v>2500</v>
      </c>
      <c r="E81" s="240">
        <v>12</v>
      </c>
      <c r="F81" s="215" t="s">
        <v>414</v>
      </c>
      <c r="G81" s="239">
        <f t="shared" ref="G81:G88" si="12">D81*E81</f>
        <v>30000</v>
      </c>
      <c r="H81" s="270">
        <f t="shared" si="9"/>
        <v>9.0479072104961023E-3</v>
      </c>
    </row>
    <row r="82" spans="1:8" ht="15" customHeight="1" x14ac:dyDescent="0.25">
      <c r="A82" s="222" t="s">
        <v>39</v>
      </c>
      <c r="B82" s="219" t="str">
        <f>'P6-DESPESA GERAL'!C35</f>
        <v>Manutenção Infraestrutura de TI</v>
      </c>
      <c r="C82" s="214" t="s">
        <v>85</v>
      </c>
      <c r="D82" s="239">
        <f>'P6-DESPESA GERAL'!G35</f>
        <v>500</v>
      </c>
      <c r="E82" s="240">
        <v>12</v>
      </c>
      <c r="F82" s="215" t="s">
        <v>414</v>
      </c>
      <c r="G82" s="239">
        <f t="shared" si="12"/>
        <v>6000</v>
      </c>
      <c r="H82" s="270">
        <f t="shared" si="9"/>
        <v>1.8095814420992205E-3</v>
      </c>
    </row>
    <row r="83" spans="1:8" ht="15" customHeight="1" x14ac:dyDescent="0.25">
      <c r="A83" s="222" t="s">
        <v>40</v>
      </c>
      <c r="B83" s="219" t="str">
        <f>'P6-DESPESA GERAL'!C36</f>
        <v>Manutenção do Sistemas e Data Center</v>
      </c>
      <c r="C83" s="214" t="s">
        <v>85</v>
      </c>
      <c r="D83" s="239">
        <f>'P6-DESPESA GERAL'!G36</f>
        <v>350</v>
      </c>
      <c r="E83" s="240">
        <v>12</v>
      </c>
      <c r="F83" s="215" t="s">
        <v>414</v>
      </c>
      <c r="G83" s="239">
        <f t="shared" si="12"/>
        <v>4200</v>
      </c>
      <c r="H83" s="270">
        <f t="shared" si="9"/>
        <v>1.2667070094694542E-3</v>
      </c>
    </row>
    <row r="84" spans="1:8" ht="15" customHeight="1" x14ac:dyDescent="0.25">
      <c r="A84" s="222" t="s">
        <v>41</v>
      </c>
      <c r="B84" s="219" t="str">
        <f>'P6-DESPESA GERAL'!C37</f>
        <v>Manutenção da Central de Controle Operacional - CCO</v>
      </c>
      <c r="C84" s="214" t="s">
        <v>85</v>
      </c>
      <c r="D84" s="239">
        <f>'P6-DESPESA GERAL'!G37</f>
        <v>350</v>
      </c>
      <c r="E84" s="240">
        <v>12</v>
      </c>
      <c r="F84" s="215" t="s">
        <v>414</v>
      </c>
      <c r="G84" s="239">
        <f t="shared" si="12"/>
        <v>4200</v>
      </c>
      <c r="H84" s="270">
        <f t="shared" si="9"/>
        <v>1.2667070094694542E-3</v>
      </c>
    </row>
    <row r="85" spans="1:8" ht="15" customHeight="1" x14ac:dyDescent="0.25">
      <c r="A85" s="222" t="s">
        <v>42</v>
      </c>
      <c r="B85" s="219" t="str">
        <f>'P6-DESPESA GERAL'!C38</f>
        <v>Manutenção e Reposição de Sinalização Vertical</v>
      </c>
      <c r="C85" s="214" t="s">
        <v>85</v>
      </c>
      <c r="D85" s="239">
        <f>'P6-DESPESA GERAL'!G38</f>
        <v>6869.5</v>
      </c>
      <c r="E85" s="240">
        <v>12</v>
      </c>
      <c r="F85" s="215" t="s">
        <v>414</v>
      </c>
      <c r="G85" s="239">
        <f t="shared" si="12"/>
        <v>82434</v>
      </c>
      <c r="H85" s="270">
        <f t="shared" si="9"/>
        <v>2.4861839433001191E-2</v>
      </c>
    </row>
    <row r="86" spans="1:8" ht="15" customHeight="1" x14ac:dyDescent="0.25">
      <c r="A86" s="222" t="s">
        <v>43</v>
      </c>
      <c r="B86" s="219" t="str">
        <f>'P6-DESPESA GERAL'!C39</f>
        <v>Manutenção e Reposição de Sinalização Horizontal</v>
      </c>
      <c r="C86" s="214" t="s">
        <v>85</v>
      </c>
      <c r="D86" s="239">
        <f>'P6-DESPESA GERAL'!G39</f>
        <v>1521</v>
      </c>
      <c r="E86" s="240">
        <v>12</v>
      </c>
      <c r="F86" s="215" t="s">
        <v>414</v>
      </c>
      <c r="G86" s="239">
        <f t="shared" si="12"/>
        <v>18252</v>
      </c>
      <c r="H86" s="270">
        <f t="shared" si="9"/>
        <v>5.5047467468658283E-3</v>
      </c>
    </row>
    <row r="87" spans="1:8" ht="15" customHeight="1" x14ac:dyDescent="0.25">
      <c r="A87" s="222" t="s">
        <v>70</v>
      </c>
      <c r="B87" s="219" t="str">
        <f>'P6-DESPESA GERAL'!C40</f>
        <v>Hospedagem - Armazenamento na Nuvem</v>
      </c>
      <c r="C87" s="214" t="s">
        <v>85</v>
      </c>
      <c r="D87" s="239">
        <f>'P6-DESPESA GERAL'!G40</f>
        <v>1460</v>
      </c>
      <c r="E87" s="240">
        <v>12</v>
      </c>
      <c r="F87" s="215" t="s">
        <v>414</v>
      </c>
      <c r="G87" s="239">
        <f t="shared" si="12"/>
        <v>17520</v>
      </c>
      <c r="H87" s="270">
        <f t="shared" si="9"/>
        <v>5.283977810929724E-3</v>
      </c>
    </row>
    <row r="88" spans="1:8" ht="15" customHeight="1" x14ac:dyDescent="0.25">
      <c r="A88" s="222" t="s">
        <v>83</v>
      </c>
      <c r="B88" s="219" t="str">
        <f>'P6-DESPESA GERAL'!C41</f>
        <v>Bobina - P.O.S.</v>
      </c>
      <c r="C88" s="214" t="s">
        <v>85</v>
      </c>
      <c r="D88" s="239">
        <f>'P6-DESPESA GERAL'!G41</f>
        <v>550</v>
      </c>
      <c r="E88" s="240">
        <v>12</v>
      </c>
      <c r="F88" s="215" t="s">
        <v>414</v>
      </c>
      <c r="G88" s="239">
        <f t="shared" si="12"/>
        <v>6600</v>
      </c>
      <c r="H88" s="270">
        <f t="shared" si="9"/>
        <v>1.9905395863091427E-3</v>
      </c>
    </row>
    <row r="89" spans="1:8" s="8" customFormat="1" ht="15" customHeight="1" x14ac:dyDescent="0.25">
      <c r="A89" s="534" t="s">
        <v>447</v>
      </c>
      <c r="B89" s="535"/>
      <c r="C89" s="255" t="s">
        <v>85</v>
      </c>
      <c r="D89" s="256">
        <f>SUM(D80:D88)</f>
        <v>14850.5</v>
      </c>
      <c r="E89" s="257">
        <v>12</v>
      </c>
      <c r="F89" s="255" t="s">
        <v>414</v>
      </c>
      <c r="G89" s="256">
        <f>SUM(G80:G88)</f>
        <v>178206</v>
      </c>
      <c r="H89" s="271">
        <f t="shared" si="9"/>
        <v>5.3746378411788948E-2</v>
      </c>
    </row>
    <row r="90" spans="1:8" s="8" customFormat="1" ht="15" customHeight="1" x14ac:dyDescent="0.25">
      <c r="A90" s="536" t="s">
        <v>448</v>
      </c>
      <c r="B90" s="537"/>
      <c r="C90" s="258" t="s">
        <v>85</v>
      </c>
      <c r="D90" s="259">
        <f>D89+D78+D70</f>
        <v>37188</v>
      </c>
      <c r="E90" s="260">
        <v>12</v>
      </c>
      <c r="F90" s="258" t="s">
        <v>414</v>
      </c>
      <c r="G90" s="259">
        <f>G89+G78+G70</f>
        <v>446256</v>
      </c>
      <c r="H90" s="272">
        <f t="shared" si="9"/>
        <v>0.13458942933757162</v>
      </c>
    </row>
    <row r="91" spans="1:8" x14ac:dyDescent="0.25">
      <c r="A91" s="221" t="s">
        <v>401</v>
      </c>
      <c r="B91" s="545" t="s">
        <v>412</v>
      </c>
      <c r="C91" s="546"/>
      <c r="D91" s="546"/>
      <c r="E91" s="546"/>
      <c r="F91" s="546"/>
      <c r="G91" s="546"/>
      <c r="H91" s="547"/>
    </row>
    <row r="92" spans="1:8" ht="15" customHeight="1" x14ac:dyDescent="0.25">
      <c r="A92" s="249" t="s">
        <v>449</v>
      </c>
      <c r="B92" s="572" t="s">
        <v>192</v>
      </c>
      <c r="C92" s="573"/>
      <c r="D92" s="573"/>
      <c r="E92" s="573"/>
      <c r="F92" s="573"/>
      <c r="G92" s="573"/>
      <c r="H92" s="574"/>
    </row>
    <row r="93" spans="1:8" ht="15" customHeight="1" x14ac:dyDescent="0.25">
      <c r="A93" s="222" t="s">
        <v>28</v>
      </c>
      <c r="B93" s="218" t="s">
        <v>230</v>
      </c>
      <c r="C93" s="214" t="s">
        <v>85</v>
      </c>
      <c r="D93" s="239">
        <f>'P7 - DESPESA FIXA VEÍCULO'!I37</f>
        <v>406.08333333333337</v>
      </c>
      <c r="E93" s="240">
        <v>12</v>
      </c>
      <c r="F93" s="215" t="s">
        <v>414</v>
      </c>
      <c r="G93" s="239">
        <f t="shared" ref="G93:G94" si="13">D93*E93</f>
        <v>4873</v>
      </c>
      <c r="H93" s="270">
        <f t="shared" ref="H93:H114" si="14">G93/$G$116</f>
        <v>1.4696817278915836E-3</v>
      </c>
    </row>
    <row r="94" spans="1:8" ht="15" customHeight="1" x14ac:dyDescent="0.25">
      <c r="A94" s="222" t="s">
        <v>33</v>
      </c>
      <c r="B94" s="218" t="s">
        <v>249</v>
      </c>
      <c r="C94" s="214" t="s">
        <v>85</v>
      </c>
      <c r="D94" s="239">
        <f>'P8-DESPESA VARIAVEL VEÍCULO'!J16</f>
        <v>892.11085714285707</v>
      </c>
      <c r="E94" s="240">
        <v>12</v>
      </c>
      <c r="F94" s="215" t="s">
        <v>414</v>
      </c>
      <c r="G94" s="239">
        <f t="shared" si="13"/>
        <v>10705.330285714284</v>
      </c>
      <c r="H94" s="270">
        <f t="shared" si="14"/>
        <v>3.2286945027618858E-3</v>
      </c>
    </row>
    <row r="95" spans="1:8" s="8" customFormat="1" ht="15" customHeight="1" x14ac:dyDescent="0.25">
      <c r="A95" s="534" t="s">
        <v>450</v>
      </c>
      <c r="B95" s="535"/>
      <c r="C95" s="255" t="s">
        <v>85</v>
      </c>
      <c r="D95" s="256">
        <f>SUM(D93:D94)</f>
        <v>1298.1941904761904</v>
      </c>
      <c r="E95" s="257">
        <v>12</v>
      </c>
      <c r="F95" s="255" t="s">
        <v>414</v>
      </c>
      <c r="G95" s="256">
        <f>SUM(G93:G94)</f>
        <v>15578.330285714284</v>
      </c>
      <c r="H95" s="271">
        <f t="shared" si="14"/>
        <v>4.6983762306534692E-3</v>
      </c>
    </row>
    <row r="96" spans="1:8" s="8" customFormat="1" ht="15" customHeight="1" x14ac:dyDescent="0.25">
      <c r="A96" s="536" t="s">
        <v>451</v>
      </c>
      <c r="B96" s="537"/>
      <c r="C96" s="258" t="s">
        <v>85</v>
      </c>
      <c r="D96" s="259">
        <f>D95</f>
        <v>1298.1941904761904</v>
      </c>
      <c r="E96" s="260">
        <v>12</v>
      </c>
      <c r="F96" s="258" t="s">
        <v>414</v>
      </c>
      <c r="G96" s="259">
        <f>G95</f>
        <v>15578.330285714284</v>
      </c>
      <c r="H96" s="272">
        <f t="shared" si="14"/>
        <v>4.6983762306534692E-3</v>
      </c>
    </row>
    <row r="97" spans="1:8" s="27" customFormat="1" ht="15" customHeight="1" x14ac:dyDescent="0.25">
      <c r="A97" s="221" t="s">
        <v>402</v>
      </c>
      <c r="B97" s="542" t="s">
        <v>413</v>
      </c>
      <c r="C97" s="543"/>
      <c r="D97" s="543"/>
      <c r="E97" s="543"/>
      <c r="F97" s="543"/>
      <c r="G97" s="543"/>
      <c r="H97" s="544"/>
    </row>
    <row r="98" spans="1:8" s="27" customFormat="1" ht="15" customHeight="1" x14ac:dyDescent="0.25">
      <c r="A98" s="222" t="s">
        <v>28</v>
      </c>
      <c r="B98" s="218" t="str">
        <f>'P9-DEPRECIAÇÃO'!C19</f>
        <v>Veículo  de Apoio Operacional</v>
      </c>
      <c r="C98" s="214" t="s">
        <v>85</v>
      </c>
      <c r="D98" s="239">
        <f>'P9-DEPRECIAÇÃO'!H21</f>
        <v>286.64</v>
      </c>
      <c r="E98" s="240">
        <v>12</v>
      </c>
      <c r="F98" s="214" t="s">
        <v>414</v>
      </c>
      <c r="G98" s="239">
        <f>D98*E98</f>
        <v>3439.68</v>
      </c>
      <c r="H98" s="270">
        <f t="shared" si="14"/>
        <v>1.0373968491266411E-3</v>
      </c>
    </row>
    <row r="99" spans="1:8" s="27" customFormat="1" ht="15" customHeight="1" x14ac:dyDescent="0.25">
      <c r="A99" s="222" t="s">
        <v>28</v>
      </c>
      <c r="B99" s="218" t="s">
        <v>392</v>
      </c>
      <c r="C99" s="214" t="s">
        <v>85</v>
      </c>
      <c r="D99" s="239">
        <f>'P9-DEPRECIAÇÃO'!H34</f>
        <v>1893.3333333333333</v>
      </c>
      <c r="E99" s="240">
        <v>12</v>
      </c>
      <c r="F99" s="214" t="s">
        <v>414</v>
      </c>
      <c r="G99" s="239">
        <f t="shared" ref="G99:G101" si="15">D99*E99</f>
        <v>22720</v>
      </c>
      <c r="H99" s="270">
        <f t="shared" si="14"/>
        <v>6.8522817274157145E-3</v>
      </c>
    </row>
    <row r="100" spans="1:8" s="27" customFormat="1" ht="15" customHeight="1" x14ac:dyDescent="0.25">
      <c r="A100" s="222" t="s">
        <v>28</v>
      </c>
      <c r="B100" s="218" t="s">
        <v>300</v>
      </c>
      <c r="C100" s="214" t="s">
        <v>85</v>
      </c>
      <c r="D100" s="239">
        <f>'P9-DEPRECIAÇÃO'!H40</f>
        <v>422.5</v>
      </c>
      <c r="E100" s="240">
        <v>12</v>
      </c>
      <c r="F100" s="214" t="s">
        <v>414</v>
      </c>
      <c r="G100" s="239">
        <f t="shared" si="15"/>
        <v>5070</v>
      </c>
      <c r="H100" s="270">
        <f t="shared" si="14"/>
        <v>1.5290963185738413E-3</v>
      </c>
    </row>
    <row r="101" spans="1:8" s="27" customFormat="1" ht="15" customHeight="1" x14ac:dyDescent="0.25">
      <c r="A101" s="222" t="s">
        <v>28</v>
      </c>
      <c r="B101" s="218" t="s">
        <v>301</v>
      </c>
      <c r="C101" s="214" t="s">
        <v>85</v>
      </c>
      <c r="D101" s="239">
        <f>'P9-DEPRECIAÇÃO'!H41</f>
        <v>5724.583333333333</v>
      </c>
      <c r="E101" s="240">
        <v>12</v>
      </c>
      <c r="F101" s="214" t="s">
        <v>414</v>
      </c>
      <c r="G101" s="239">
        <f t="shared" si="15"/>
        <v>68695</v>
      </c>
      <c r="H101" s="270">
        <f t="shared" si="14"/>
        <v>2.071819952750099E-2</v>
      </c>
    </row>
    <row r="102" spans="1:8" s="8" customFormat="1" ht="15" customHeight="1" x14ac:dyDescent="0.25">
      <c r="A102" s="534" t="s">
        <v>459</v>
      </c>
      <c r="B102" s="535"/>
      <c r="C102" s="255" t="s">
        <v>85</v>
      </c>
      <c r="D102" s="256">
        <f>SUM(D98:D101)</f>
        <v>8327.0566666666673</v>
      </c>
      <c r="E102" s="257">
        <v>12</v>
      </c>
      <c r="F102" s="255" t="s">
        <v>414</v>
      </c>
      <c r="G102" s="256">
        <f>SUM(G98:G101)</f>
        <v>99924.68</v>
      </c>
      <c r="H102" s="271">
        <f t="shared" si="14"/>
        <v>3.0136974422617185E-2</v>
      </c>
    </row>
    <row r="103" spans="1:8" s="8" customFormat="1" ht="15" customHeight="1" x14ac:dyDescent="0.25">
      <c r="A103" s="536" t="s">
        <v>453</v>
      </c>
      <c r="B103" s="537"/>
      <c r="C103" s="258" t="s">
        <v>85</v>
      </c>
      <c r="D103" s="259">
        <f>D102</f>
        <v>8327.0566666666673</v>
      </c>
      <c r="E103" s="260">
        <v>12</v>
      </c>
      <c r="F103" s="258" t="s">
        <v>414</v>
      </c>
      <c r="G103" s="259">
        <f>G102</f>
        <v>99924.68</v>
      </c>
      <c r="H103" s="272">
        <f t="shared" si="14"/>
        <v>3.0136974422617185E-2</v>
      </c>
    </row>
    <row r="104" spans="1:8" s="27" customFormat="1" ht="15" customHeight="1" x14ac:dyDescent="0.25">
      <c r="A104" s="221" t="s">
        <v>403</v>
      </c>
      <c r="B104" s="545" t="s">
        <v>415</v>
      </c>
      <c r="C104" s="546"/>
      <c r="D104" s="546"/>
      <c r="E104" s="546"/>
      <c r="F104" s="546"/>
      <c r="G104" s="546"/>
      <c r="H104" s="547"/>
    </row>
    <row r="105" spans="1:8" ht="15" customHeight="1" x14ac:dyDescent="0.25">
      <c r="A105" s="223" t="s">
        <v>28</v>
      </c>
      <c r="B105" s="218" t="s">
        <v>416</v>
      </c>
      <c r="C105" s="214" t="s">
        <v>85</v>
      </c>
      <c r="D105" s="239">
        <f>'P12-MODAL DE PAGAMENTO'!F6</f>
        <v>3860.01</v>
      </c>
      <c r="E105" s="240">
        <v>12</v>
      </c>
      <c r="F105" s="215" t="s">
        <v>414</v>
      </c>
      <c r="G105" s="239">
        <v>11641.29</v>
      </c>
      <c r="H105" s="270">
        <f t="shared" si="14"/>
        <v>3.5109770576825391E-3</v>
      </c>
    </row>
    <row r="106" spans="1:8" ht="15" customHeight="1" x14ac:dyDescent="0.25">
      <c r="A106" s="223" t="s">
        <v>33</v>
      </c>
      <c r="B106" s="218" t="s">
        <v>417</v>
      </c>
      <c r="C106" s="214" t="s">
        <v>85</v>
      </c>
      <c r="D106" s="239">
        <f>'P12-MODAL DE PAGAMENTO'!F7</f>
        <v>772.00199999999995</v>
      </c>
      <c r="E106" s="240">
        <v>12</v>
      </c>
      <c r="F106" s="215" t="s">
        <v>414</v>
      </c>
      <c r="G106" s="239">
        <v>5820.65</v>
      </c>
      <c r="H106" s="270">
        <f t="shared" si="14"/>
        <v>1.7554900368258045E-3</v>
      </c>
    </row>
    <row r="107" spans="1:8" ht="15" customHeight="1" x14ac:dyDescent="0.25">
      <c r="A107" s="223" t="s">
        <v>39</v>
      </c>
      <c r="B107" s="218" t="s">
        <v>419</v>
      </c>
      <c r="C107" s="214" t="s">
        <v>85</v>
      </c>
      <c r="D107" s="239">
        <f>'P12-MODAL DE PAGAMENTO'!F8</f>
        <v>1544.0039999999999</v>
      </c>
      <c r="E107" s="240">
        <v>12</v>
      </c>
      <c r="F107" s="215" t="s">
        <v>414</v>
      </c>
      <c r="G107" s="239"/>
      <c r="H107" s="270">
        <f t="shared" si="14"/>
        <v>0</v>
      </c>
    </row>
    <row r="108" spans="1:8" ht="15" customHeight="1" x14ac:dyDescent="0.25">
      <c r="A108" s="223" t="s">
        <v>40</v>
      </c>
      <c r="B108" s="218" t="s">
        <v>420</v>
      </c>
      <c r="C108" s="214" t="s">
        <v>85</v>
      </c>
      <c r="D108" s="239">
        <f>'P12-MODAL DE PAGAMENTO'!F9</f>
        <v>965.00250000000005</v>
      </c>
      <c r="E108" s="240">
        <v>12</v>
      </c>
      <c r="F108" s="215" t="s">
        <v>414</v>
      </c>
      <c r="G108" s="239"/>
      <c r="H108" s="270">
        <f t="shared" si="14"/>
        <v>0</v>
      </c>
    </row>
    <row r="109" spans="1:8" ht="15" customHeight="1" x14ac:dyDescent="0.25">
      <c r="A109" s="224" t="s">
        <v>41</v>
      </c>
      <c r="B109" s="218" t="s">
        <v>418</v>
      </c>
      <c r="C109" s="214" t="s">
        <v>85</v>
      </c>
      <c r="D109" s="239">
        <f>'P12-MODAL DE PAGAMENTO'!F10</f>
        <v>1930.0050000000001</v>
      </c>
      <c r="E109" s="240">
        <v>12</v>
      </c>
      <c r="F109" s="215" t="s">
        <v>414</v>
      </c>
      <c r="G109" s="239">
        <v>21827.43</v>
      </c>
      <c r="H109" s="270">
        <f t="shared" si="14"/>
        <v>6.5830853761199648E-3</v>
      </c>
    </row>
    <row r="110" spans="1:8" s="8" customFormat="1" ht="15" customHeight="1" x14ac:dyDescent="0.25">
      <c r="A110" s="534" t="s">
        <v>455</v>
      </c>
      <c r="B110" s="535"/>
      <c r="C110" s="255" t="s">
        <v>85</v>
      </c>
      <c r="D110" s="256">
        <f>SUM(D106:D109)</f>
        <v>5211.0135</v>
      </c>
      <c r="E110" s="257">
        <v>12</v>
      </c>
      <c r="F110" s="255" t="s">
        <v>414</v>
      </c>
      <c r="G110" s="256">
        <f>SUM(G106:G109)</f>
        <v>27648.080000000002</v>
      </c>
      <c r="H110" s="271">
        <f t="shared" si="14"/>
        <v>8.3385754129457704E-3</v>
      </c>
    </row>
    <row r="111" spans="1:8" s="8" customFormat="1" ht="15" customHeight="1" x14ac:dyDescent="0.25">
      <c r="A111" s="536" t="s">
        <v>456</v>
      </c>
      <c r="B111" s="537"/>
      <c r="C111" s="258" t="s">
        <v>85</v>
      </c>
      <c r="D111" s="259">
        <f>D110</f>
        <v>5211.0135</v>
      </c>
      <c r="E111" s="260">
        <v>12</v>
      </c>
      <c r="F111" s="258" t="s">
        <v>414</v>
      </c>
      <c r="G111" s="259">
        <f>G110</f>
        <v>27648.080000000002</v>
      </c>
      <c r="H111" s="272">
        <f t="shared" si="14"/>
        <v>8.3385754129457704E-3</v>
      </c>
    </row>
    <row r="112" spans="1:8" ht="15" customHeight="1" x14ac:dyDescent="0.25">
      <c r="A112" s="235" t="s">
        <v>431</v>
      </c>
      <c r="B112" s="563" t="s">
        <v>454</v>
      </c>
      <c r="C112" s="564"/>
      <c r="D112" s="564"/>
      <c r="E112" s="564"/>
      <c r="F112" s="564"/>
      <c r="G112" s="564"/>
      <c r="H112" s="565"/>
    </row>
    <row r="113" spans="1:8" x14ac:dyDescent="0.25">
      <c r="A113" s="541" t="s">
        <v>485</v>
      </c>
      <c r="B113" s="541"/>
      <c r="C113" s="290">
        <v>0.2</v>
      </c>
      <c r="D113" s="250">
        <f>'P11-FATURAMENTO'!F21*C113</f>
        <v>77200.2</v>
      </c>
      <c r="E113" s="240">
        <v>12</v>
      </c>
      <c r="F113" s="215" t="s">
        <v>414</v>
      </c>
      <c r="G113" s="250">
        <f>D113*E113</f>
        <v>926402.39999999991</v>
      </c>
      <c r="H113" s="270">
        <f t="shared" si="14"/>
        <v>0.27940009849269642</v>
      </c>
    </row>
    <row r="114" spans="1:8" s="8" customFormat="1" ht="15" customHeight="1" x14ac:dyDescent="0.25">
      <c r="A114" s="536" t="s">
        <v>458</v>
      </c>
      <c r="B114" s="537"/>
      <c r="C114" s="258" t="s">
        <v>85</v>
      </c>
      <c r="D114" s="259">
        <f>D113</f>
        <v>77200.2</v>
      </c>
      <c r="E114" s="260">
        <v>12</v>
      </c>
      <c r="F114" s="258" t="s">
        <v>414</v>
      </c>
      <c r="G114" s="259">
        <f>G113</f>
        <v>926402.39999999991</v>
      </c>
      <c r="H114" s="272">
        <f t="shared" si="14"/>
        <v>0.27940009849269642</v>
      </c>
    </row>
    <row r="115" spans="1:8" s="8" customFormat="1" ht="15" customHeight="1" x14ac:dyDescent="0.25">
      <c r="A115" s="557"/>
      <c r="B115" s="558"/>
      <c r="C115" s="558"/>
      <c r="D115" s="558"/>
      <c r="E115" s="558"/>
      <c r="F115" s="558"/>
      <c r="G115" s="558"/>
      <c r="H115" s="559"/>
    </row>
    <row r="116" spans="1:8" s="8" customFormat="1" ht="15" customHeight="1" x14ac:dyDescent="0.25">
      <c r="A116" s="536" t="s">
        <v>457</v>
      </c>
      <c r="B116" s="537"/>
      <c r="C116" s="258" t="s">
        <v>85</v>
      </c>
      <c r="D116" s="259">
        <f>D114+D111+D103+D96+D90+D56+D20</f>
        <v>279213.99604514288</v>
      </c>
      <c r="E116" s="260">
        <v>12</v>
      </c>
      <c r="F116" s="258" t="s">
        <v>414</v>
      </c>
      <c r="G116" s="259">
        <f>G114+G111+G103+G96+G90+G56+G20</f>
        <v>3315683.8705417141</v>
      </c>
      <c r="H116" s="272"/>
    </row>
    <row r="117" spans="1:8" x14ac:dyDescent="0.25">
      <c r="A117" s="512"/>
      <c r="B117" s="512"/>
      <c r="C117" s="512"/>
      <c r="D117" s="512"/>
      <c r="E117" s="512"/>
      <c r="F117" s="512"/>
      <c r="G117" s="512"/>
      <c r="H117" s="512"/>
    </row>
    <row r="118" spans="1:8" x14ac:dyDescent="0.25">
      <c r="A118" s="554" t="s">
        <v>421</v>
      </c>
      <c r="B118" s="555"/>
      <c r="C118" s="555"/>
      <c r="D118" s="555"/>
      <c r="E118" s="555"/>
      <c r="F118" s="555"/>
      <c r="G118" s="555"/>
      <c r="H118" s="556"/>
    </row>
    <row r="119" spans="1:8" ht="22.5" x14ac:dyDescent="0.25">
      <c r="A119" s="225" t="s">
        <v>404</v>
      </c>
      <c r="B119" s="552" t="s">
        <v>422</v>
      </c>
      <c r="C119" s="553"/>
      <c r="D119" s="554" t="s">
        <v>85</v>
      </c>
      <c r="E119" s="555"/>
      <c r="F119" s="556"/>
      <c r="G119" s="231" t="s">
        <v>414</v>
      </c>
      <c r="H119" s="216" t="s">
        <v>423</v>
      </c>
    </row>
    <row r="120" spans="1:8" x14ac:dyDescent="0.25">
      <c r="A120" s="226" t="s">
        <v>405</v>
      </c>
      <c r="B120" s="550" t="s">
        <v>424</v>
      </c>
      <c r="C120" s="551"/>
      <c r="D120" s="560">
        <f>D20</f>
        <v>116526.531688</v>
      </c>
      <c r="E120" s="561"/>
      <c r="F120" s="562"/>
      <c r="G120" s="233">
        <f>G20</f>
        <v>1398318.380256</v>
      </c>
      <c r="H120" s="217">
        <f>D120/$D$127</f>
        <v>0.4173377170862172</v>
      </c>
    </row>
    <row r="121" spans="1:8" x14ac:dyDescent="0.25">
      <c r="A121" s="226" t="s">
        <v>406</v>
      </c>
      <c r="B121" s="550" t="s">
        <v>425</v>
      </c>
      <c r="C121" s="551"/>
      <c r="D121" s="560">
        <f>D56</f>
        <v>33463</v>
      </c>
      <c r="E121" s="561"/>
      <c r="F121" s="562"/>
      <c r="G121" s="233">
        <f>G56</f>
        <v>401556</v>
      </c>
      <c r="H121" s="217">
        <f t="shared" ref="H121:H127" si="16">D121/$D$127</f>
        <v>0.11984714403281473</v>
      </c>
    </row>
    <row r="122" spans="1:8" x14ac:dyDescent="0.25">
      <c r="A122" s="226" t="s">
        <v>407</v>
      </c>
      <c r="B122" s="550" t="s">
        <v>426</v>
      </c>
      <c r="C122" s="551"/>
      <c r="D122" s="560">
        <f>D90</f>
        <v>37188</v>
      </c>
      <c r="E122" s="561"/>
      <c r="F122" s="562"/>
      <c r="G122" s="233">
        <f>G90</f>
        <v>446256</v>
      </c>
      <c r="H122" s="217">
        <f t="shared" si="16"/>
        <v>0.13318816580379267</v>
      </c>
    </row>
    <row r="123" spans="1:8" x14ac:dyDescent="0.25">
      <c r="A123" s="226" t="s">
        <v>408</v>
      </c>
      <c r="B123" s="550" t="s">
        <v>427</v>
      </c>
      <c r="C123" s="551"/>
      <c r="D123" s="560">
        <f>D96</f>
        <v>1298.1941904761904</v>
      </c>
      <c r="E123" s="561"/>
      <c r="F123" s="562"/>
      <c r="G123" s="233">
        <f>G96</f>
        <v>15578.330285714284</v>
      </c>
      <c r="H123" s="217">
        <f t="shared" si="16"/>
        <v>4.6494595860670984E-3</v>
      </c>
    </row>
    <row r="124" spans="1:8" x14ac:dyDescent="0.25">
      <c r="A124" s="226" t="s">
        <v>409</v>
      </c>
      <c r="B124" s="550" t="s">
        <v>428</v>
      </c>
      <c r="C124" s="551"/>
      <c r="D124" s="560">
        <f>D103</f>
        <v>8327.0566666666673</v>
      </c>
      <c r="E124" s="561"/>
      <c r="F124" s="562"/>
      <c r="G124" s="233">
        <f>G103</f>
        <v>99924.68</v>
      </c>
      <c r="H124" s="217">
        <f t="shared" si="16"/>
        <v>2.9823206517628729E-2</v>
      </c>
    </row>
    <row r="125" spans="1:8" x14ac:dyDescent="0.25">
      <c r="A125" s="274" t="s">
        <v>410</v>
      </c>
      <c r="B125" s="548" t="s">
        <v>415</v>
      </c>
      <c r="C125" s="549"/>
      <c r="D125" s="538">
        <f>D111</f>
        <v>5211.0135</v>
      </c>
      <c r="E125" s="539"/>
      <c r="F125" s="540"/>
      <c r="G125" s="275">
        <f>G111</f>
        <v>27648.080000000002</v>
      </c>
      <c r="H125" s="217">
        <f t="shared" si="16"/>
        <v>1.8663152899962406E-2</v>
      </c>
    </row>
    <row r="126" spans="1:8" x14ac:dyDescent="0.25">
      <c r="A126" s="274" t="s">
        <v>486</v>
      </c>
      <c r="B126" s="548" t="s">
        <v>487</v>
      </c>
      <c r="C126" s="549"/>
      <c r="D126" s="538">
        <f>D114</f>
        <v>77200.2</v>
      </c>
      <c r="E126" s="539"/>
      <c r="F126" s="540"/>
      <c r="G126" s="275">
        <f>G114</f>
        <v>926402.39999999991</v>
      </c>
      <c r="H126" s="217">
        <f t="shared" si="16"/>
        <v>0.2764911540735171</v>
      </c>
    </row>
    <row r="127" spans="1:8" x14ac:dyDescent="0.25">
      <c r="A127" s="566" t="s">
        <v>154</v>
      </c>
      <c r="B127" s="567"/>
      <c r="C127" s="568"/>
      <c r="D127" s="569">
        <f>SUM(D120:F126)</f>
        <v>279213.99604514288</v>
      </c>
      <c r="E127" s="570"/>
      <c r="F127" s="571"/>
      <c r="G127" s="232">
        <f>SUM(G120:G126)</f>
        <v>3315683.8705417146</v>
      </c>
      <c r="H127" s="217">
        <f t="shared" si="16"/>
        <v>1</v>
      </c>
    </row>
  </sheetData>
  <mergeCells count="69">
    <mergeCell ref="B9:H9"/>
    <mergeCell ref="A1:H1"/>
    <mergeCell ref="A2:H2"/>
    <mergeCell ref="A21:H21"/>
    <mergeCell ref="A19:B19"/>
    <mergeCell ref="A20:B20"/>
    <mergeCell ref="A14:B14"/>
    <mergeCell ref="B15:H15"/>
    <mergeCell ref="A3:B3"/>
    <mergeCell ref="B4:H4"/>
    <mergeCell ref="B5:H5"/>
    <mergeCell ref="A8:B8"/>
    <mergeCell ref="B33:H33"/>
    <mergeCell ref="A32:B32"/>
    <mergeCell ref="B28:H28"/>
    <mergeCell ref="A27:B27"/>
    <mergeCell ref="B22:H22"/>
    <mergeCell ref="B23:H23"/>
    <mergeCell ref="B53:H53"/>
    <mergeCell ref="A52:B52"/>
    <mergeCell ref="B43:H43"/>
    <mergeCell ref="A42:B42"/>
    <mergeCell ref="A37:B37"/>
    <mergeCell ref="B38:H38"/>
    <mergeCell ref="A70:B70"/>
    <mergeCell ref="B71:H71"/>
    <mergeCell ref="B59:H59"/>
    <mergeCell ref="B58:H58"/>
    <mergeCell ref="A55:B55"/>
    <mergeCell ref="A56:B56"/>
    <mergeCell ref="A89:B89"/>
    <mergeCell ref="B92:H92"/>
    <mergeCell ref="A90:B90"/>
    <mergeCell ref="A78:B78"/>
    <mergeCell ref="B79:H79"/>
    <mergeCell ref="B91:H91"/>
    <mergeCell ref="D122:F122"/>
    <mergeCell ref="D123:F123"/>
    <mergeCell ref="B112:H112"/>
    <mergeCell ref="D119:F119"/>
    <mergeCell ref="A127:C127"/>
    <mergeCell ref="D120:F120"/>
    <mergeCell ref="D121:F121"/>
    <mergeCell ref="D127:F127"/>
    <mergeCell ref="B126:C126"/>
    <mergeCell ref="D126:F126"/>
    <mergeCell ref="D124:F124"/>
    <mergeCell ref="A111:B111"/>
    <mergeCell ref="A116:B116"/>
    <mergeCell ref="A117:H117"/>
    <mergeCell ref="A118:H118"/>
    <mergeCell ref="A114:B114"/>
    <mergeCell ref="A115:H115"/>
    <mergeCell ref="A95:B95"/>
    <mergeCell ref="A96:B96"/>
    <mergeCell ref="D125:F125"/>
    <mergeCell ref="A113:B113"/>
    <mergeCell ref="A102:B102"/>
    <mergeCell ref="A103:B103"/>
    <mergeCell ref="B97:H97"/>
    <mergeCell ref="B104:H104"/>
    <mergeCell ref="B125:C125"/>
    <mergeCell ref="B124:C124"/>
    <mergeCell ref="B123:C123"/>
    <mergeCell ref="B122:C122"/>
    <mergeCell ref="B121:C121"/>
    <mergeCell ref="B120:C120"/>
    <mergeCell ref="B119:C119"/>
    <mergeCell ref="A110:B110"/>
  </mergeCells>
  <phoneticPr fontId="56" type="noConversion"/>
  <pageMargins left="0.25" right="0.25" top="0.30448717948717946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6FC1-E34B-40E5-A5ED-7C89076490D5}">
  <dimension ref="A1:K119"/>
  <sheetViews>
    <sheetView view="pageLayout" zoomScaleNormal="85" workbookViewId="0">
      <selection sqref="A1:K1"/>
    </sheetView>
  </sheetViews>
  <sheetFormatPr defaultRowHeight="15" x14ac:dyDescent="0.25"/>
  <cols>
    <col min="1" max="1" width="4" style="1" bestFit="1" customWidth="1"/>
    <col min="2" max="2" width="2.42578125" style="1" bestFit="1" customWidth="1"/>
    <col min="3" max="3" width="41.7109375" style="1" customWidth="1"/>
    <col min="4" max="4" width="8.85546875" style="2" customWidth="1"/>
    <col min="5" max="5" width="7.140625" style="1" bestFit="1" customWidth="1"/>
    <col min="6" max="6" width="12.7109375" style="1" bestFit="1" customWidth="1"/>
    <col min="7" max="7" width="12.5703125" style="1" bestFit="1" customWidth="1"/>
    <col min="8" max="10" width="12.85546875" style="1" bestFit="1" customWidth="1"/>
    <col min="11" max="11" width="13.5703125" style="1" bestFit="1" customWidth="1"/>
    <col min="12" max="16384" width="9.140625" style="1"/>
  </cols>
  <sheetData>
    <row r="1" spans="1:11" ht="15" customHeight="1" x14ac:dyDescent="0.25">
      <c r="A1" s="586" t="s">
        <v>553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</row>
    <row r="3" spans="1:11" ht="15" customHeight="1" x14ac:dyDescent="0.25">
      <c r="A3" s="101"/>
      <c r="B3" s="101"/>
      <c r="C3" s="101"/>
      <c r="D3" s="107"/>
      <c r="E3" s="101"/>
      <c r="F3" s="131"/>
      <c r="G3" s="165" t="s">
        <v>492</v>
      </c>
      <c r="H3" s="165" t="s">
        <v>493</v>
      </c>
      <c r="I3" s="165" t="s">
        <v>542</v>
      </c>
      <c r="J3" s="165" t="s">
        <v>543</v>
      </c>
      <c r="K3" s="165" t="s">
        <v>544</v>
      </c>
    </row>
    <row r="4" spans="1:11" ht="15" customHeight="1" x14ac:dyDescent="0.25">
      <c r="A4" s="102"/>
      <c r="B4" s="102"/>
      <c r="C4" s="102"/>
      <c r="D4" s="118"/>
      <c r="E4" s="102"/>
      <c r="F4" s="102"/>
      <c r="G4" s="15" t="s">
        <v>545</v>
      </c>
      <c r="H4" s="15" t="s">
        <v>546</v>
      </c>
      <c r="I4" s="15" t="s">
        <v>547</v>
      </c>
      <c r="J4" s="15" t="s">
        <v>548</v>
      </c>
      <c r="K4" s="15" t="s">
        <v>549</v>
      </c>
    </row>
    <row r="5" spans="1:11" x14ac:dyDescent="0.25">
      <c r="A5" s="582" t="s">
        <v>494</v>
      </c>
      <c r="B5" s="583"/>
      <c r="C5" s="583"/>
      <c r="D5" s="583"/>
      <c r="E5" s="583"/>
      <c r="F5" s="584"/>
      <c r="G5" s="324" t="s">
        <v>527</v>
      </c>
      <c r="H5" s="579" t="s">
        <v>528</v>
      </c>
      <c r="I5" s="579"/>
      <c r="J5" s="579"/>
      <c r="K5" s="579"/>
    </row>
    <row r="6" spans="1:11" x14ac:dyDescent="0.25">
      <c r="A6" s="115"/>
      <c r="B6" s="115"/>
      <c r="C6" s="115"/>
      <c r="D6" s="117"/>
      <c r="E6" s="115"/>
      <c r="F6" s="115"/>
      <c r="G6" s="115"/>
      <c r="H6" s="116"/>
    </row>
    <row r="7" spans="1:11" x14ac:dyDescent="0.25">
      <c r="A7" s="310">
        <v>1</v>
      </c>
      <c r="B7" s="592" t="s">
        <v>552</v>
      </c>
      <c r="C7" s="592"/>
      <c r="D7" s="282"/>
      <c r="E7" s="348" t="s">
        <v>495</v>
      </c>
      <c r="F7" s="348" t="s">
        <v>496</v>
      </c>
      <c r="G7" s="128">
        <v>1</v>
      </c>
      <c r="H7" s="128">
        <v>1</v>
      </c>
      <c r="I7" s="128">
        <v>1</v>
      </c>
      <c r="J7" s="128">
        <v>1</v>
      </c>
      <c r="K7" s="128">
        <v>1</v>
      </c>
    </row>
    <row r="8" spans="1:11" x14ac:dyDescent="0.25">
      <c r="A8" s="116"/>
      <c r="B8" s="116"/>
      <c r="C8" s="116"/>
      <c r="D8" s="107"/>
      <c r="E8" s="116"/>
      <c r="F8" s="116"/>
      <c r="G8" s="116"/>
      <c r="H8" s="116"/>
    </row>
    <row r="9" spans="1:11" x14ac:dyDescent="0.25">
      <c r="A9" s="343">
        <v>2</v>
      </c>
      <c r="B9" s="580" t="s">
        <v>497</v>
      </c>
      <c r="C9" s="580"/>
      <c r="D9" s="328">
        <v>2.1999999999999999E-2</v>
      </c>
      <c r="E9" s="581"/>
      <c r="F9" s="581"/>
      <c r="G9" s="346">
        <f>'P11-FATURAMENTO'!E13</f>
        <v>0.75</v>
      </c>
      <c r="H9" s="344">
        <f>(G9*$D$9)+G9</f>
        <v>0.76649999999999996</v>
      </c>
      <c r="I9" s="344">
        <f t="shared" ref="I9:K9" si="0">(H9*$D$9)+H9</f>
        <v>0.78336299999999992</v>
      </c>
      <c r="J9" s="344">
        <f t="shared" si="0"/>
        <v>0.80059698599999995</v>
      </c>
      <c r="K9" s="345">
        <f t="shared" si="0"/>
        <v>0.81821011969199997</v>
      </c>
    </row>
    <row r="10" spans="1:11" x14ac:dyDescent="0.25">
      <c r="A10" s="116"/>
      <c r="B10" s="116"/>
      <c r="C10" s="116"/>
      <c r="D10" s="107"/>
      <c r="E10" s="116"/>
      <c r="F10" s="116"/>
      <c r="G10" s="107"/>
      <c r="H10" s="107"/>
      <c r="I10" s="2"/>
      <c r="J10" s="2"/>
      <c r="K10" s="2"/>
    </row>
    <row r="11" spans="1:11" x14ac:dyDescent="0.25">
      <c r="A11" s="343">
        <v>3</v>
      </c>
      <c r="B11" s="580" t="s">
        <v>498</v>
      </c>
      <c r="C11" s="580"/>
      <c r="D11" s="328">
        <f>'P11-FATURAMENTO'!E14</f>
        <v>0.6</v>
      </c>
      <c r="E11" s="581"/>
      <c r="F11" s="581"/>
      <c r="G11" s="346">
        <f>$D$11</f>
        <v>0.6</v>
      </c>
      <c r="H11" s="344">
        <f t="shared" ref="H11:K11" si="1">$D$11</f>
        <v>0.6</v>
      </c>
      <c r="I11" s="344">
        <f t="shared" si="1"/>
        <v>0.6</v>
      </c>
      <c r="J11" s="344">
        <f t="shared" si="1"/>
        <v>0.6</v>
      </c>
      <c r="K11" s="345">
        <f t="shared" si="1"/>
        <v>0.6</v>
      </c>
    </row>
    <row r="12" spans="1:11" x14ac:dyDescent="0.25">
      <c r="A12" s="116"/>
      <c r="B12" s="116"/>
      <c r="C12" s="116"/>
      <c r="D12" s="107"/>
      <c r="E12" s="116"/>
      <c r="F12" s="116"/>
      <c r="G12" s="107"/>
      <c r="H12" s="107"/>
      <c r="I12" s="2"/>
      <c r="J12" s="2"/>
      <c r="K12" s="2"/>
    </row>
    <row r="13" spans="1:11" ht="15" customHeight="1" x14ac:dyDescent="0.25">
      <c r="A13" s="343">
        <v>4</v>
      </c>
      <c r="B13" s="580" t="s">
        <v>499</v>
      </c>
      <c r="C13" s="580"/>
      <c r="D13" s="580"/>
      <c r="E13" s="580"/>
      <c r="F13" s="580"/>
      <c r="G13" s="346">
        <f>G9*G11</f>
        <v>0.44999999999999996</v>
      </c>
      <c r="H13" s="344">
        <f>H11*H9</f>
        <v>0.45989999999999998</v>
      </c>
      <c r="I13" s="344">
        <f t="shared" ref="I13:K13" si="2">I11*I9</f>
        <v>0.47001779999999993</v>
      </c>
      <c r="J13" s="344">
        <f t="shared" si="2"/>
        <v>0.48035819159999993</v>
      </c>
      <c r="K13" s="345">
        <f t="shared" si="2"/>
        <v>0.49092607181519998</v>
      </c>
    </row>
    <row r="14" spans="1:11" x14ac:dyDescent="0.25">
      <c r="A14" s="116"/>
      <c r="B14" s="116"/>
      <c r="C14" s="116"/>
      <c r="D14" s="107"/>
      <c r="E14" s="116"/>
      <c r="F14" s="299"/>
      <c r="G14" s="107"/>
      <c r="H14" s="107"/>
      <c r="I14" s="2"/>
      <c r="J14" s="2"/>
      <c r="K14" s="2"/>
    </row>
    <row r="15" spans="1:11" ht="15" customHeight="1" x14ac:dyDescent="0.25">
      <c r="A15" s="341">
        <v>5</v>
      </c>
      <c r="B15" s="596" t="s">
        <v>500</v>
      </c>
      <c r="C15" s="596"/>
      <c r="D15" s="596"/>
      <c r="E15" s="596"/>
      <c r="F15" s="596"/>
      <c r="G15" s="342">
        <f>'P11-FATURAMENTO'!E12*12</f>
        <v>2640</v>
      </c>
      <c r="H15" s="340">
        <f>$G$15</f>
        <v>2640</v>
      </c>
      <c r="I15" s="340">
        <f t="shared" ref="I15:K15" si="3">$G$15</f>
        <v>2640</v>
      </c>
      <c r="J15" s="340">
        <f t="shared" si="3"/>
        <v>2640</v>
      </c>
      <c r="K15" s="340">
        <f t="shared" si="3"/>
        <v>2640</v>
      </c>
    </row>
    <row r="16" spans="1:11" x14ac:dyDescent="0.25">
      <c r="A16" s="116"/>
      <c r="B16" s="116"/>
      <c r="C16" s="116"/>
      <c r="D16" s="107"/>
      <c r="E16" s="116"/>
      <c r="F16" s="116"/>
      <c r="G16" s="107"/>
      <c r="H16" s="107"/>
      <c r="I16" s="2"/>
      <c r="J16" s="2"/>
      <c r="K16" s="2"/>
    </row>
    <row r="17" spans="1:11" ht="15" customHeight="1" x14ac:dyDescent="0.25">
      <c r="A17" s="341">
        <v>6</v>
      </c>
      <c r="B17" s="596" t="s">
        <v>529</v>
      </c>
      <c r="C17" s="596"/>
      <c r="D17" s="596"/>
      <c r="E17" s="596"/>
      <c r="F17" s="596"/>
      <c r="G17" s="342">
        <f>'P11-FATURAMENTO'!E5</f>
        <v>1166</v>
      </c>
      <c r="H17" s="339">
        <f>$G$17</f>
        <v>1166</v>
      </c>
      <c r="I17" s="339">
        <f t="shared" ref="I17:K17" si="4">$G$17</f>
        <v>1166</v>
      </c>
      <c r="J17" s="339">
        <f t="shared" si="4"/>
        <v>1166</v>
      </c>
      <c r="K17" s="340">
        <f t="shared" si="4"/>
        <v>1166</v>
      </c>
    </row>
    <row r="18" spans="1:11" x14ac:dyDescent="0.25">
      <c r="A18" s="116"/>
      <c r="B18" s="116"/>
      <c r="C18" s="116"/>
      <c r="D18" s="107"/>
      <c r="E18" s="116"/>
      <c r="F18" s="116"/>
      <c r="G18" s="107"/>
      <c r="H18" s="107"/>
      <c r="I18" s="2"/>
      <c r="J18" s="2"/>
      <c r="K18" s="2"/>
    </row>
    <row r="19" spans="1:11" ht="15" customHeight="1" x14ac:dyDescent="0.25">
      <c r="A19" s="341">
        <v>7</v>
      </c>
      <c r="B19" s="596" t="s">
        <v>530</v>
      </c>
      <c r="C19" s="596"/>
      <c r="D19" s="596"/>
      <c r="E19" s="596"/>
      <c r="F19" s="596"/>
      <c r="G19" s="342">
        <f>'P11-FATURAMENTO'!E6</f>
        <v>656</v>
      </c>
      <c r="H19" s="339">
        <f>$G$19</f>
        <v>656</v>
      </c>
      <c r="I19" s="339">
        <f t="shared" ref="I19:K19" si="5">$G$19</f>
        <v>656</v>
      </c>
      <c r="J19" s="339">
        <f t="shared" si="5"/>
        <v>656</v>
      </c>
      <c r="K19" s="340">
        <f t="shared" si="5"/>
        <v>656</v>
      </c>
    </row>
    <row r="20" spans="1:11" x14ac:dyDescent="0.25">
      <c r="A20" s="116"/>
      <c r="B20" s="116"/>
      <c r="C20" s="116"/>
      <c r="D20" s="107"/>
      <c r="E20" s="116"/>
      <c r="F20" s="116"/>
      <c r="G20" s="116"/>
      <c r="H20" s="116"/>
    </row>
    <row r="21" spans="1:11" x14ac:dyDescent="0.25">
      <c r="A21" s="311">
        <v>8</v>
      </c>
      <c r="B21" s="597" t="s">
        <v>531</v>
      </c>
      <c r="C21" s="589"/>
      <c r="D21" s="329">
        <f>'P11-FATURAMENTO'!E7</f>
        <v>2.5</v>
      </c>
      <c r="E21" s="589"/>
      <c r="F21" s="589"/>
      <c r="G21" s="312">
        <f>$D$21</f>
        <v>2.5</v>
      </c>
      <c r="H21" s="312">
        <f t="shared" ref="H21:K21" si="6">$D$21</f>
        <v>2.5</v>
      </c>
      <c r="I21" s="312">
        <f t="shared" si="6"/>
        <v>2.5</v>
      </c>
      <c r="J21" s="312">
        <f t="shared" si="6"/>
        <v>2.5</v>
      </c>
      <c r="K21" s="312">
        <f t="shared" si="6"/>
        <v>2.5</v>
      </c>
    </row>
    <row r="22" spans="1:11" x14ac:dyDescent="0.25">
      <c r="A22" s="116"/>
      <c r="B22" s="116"/>
      <c r="C22" s="116"/>
      <c r="D22" s="107"/>
      <c r="E22" s="116"/>
      <c r="F22" s="116"/>
      <c r="G22" s="116"/>
      <c r="H22" s="116"/>
    </row>
    <row r="23" spans="1:11" x14ac:dyDescent="0.25">
      <c r="A23" s="311">
        <v>9</v>
      </c>
      <c r="B23" s="597" t="s">
        <v>532</v>
      </c>
      <c r="C23" s="589"/>
      <c r="D23" s="329">
        <f>'P11-FATURAMENTO'!E8</f>
        <v>1.5</v>
      </c>
      <c r="E23" s="589"/>
      <c r="F23" s="589"/>
      <c r="G23" s="312">
        <f>$D$23</f>
        <v>1.5</v>
      </c>
      <c r="H23" s="312">
        <f t="shared" ref="H23:K23" si="7">$D$23</f>
        <v>1.5</v>
      </c>
      <c r="I23" s="312">
        <f t="shared" si="7"/>
        <v>1.5</v>
      </c>
      <c r="J23" s="312">
        <f t="shared" si="7"/>
        <v>1.5</v>
      </c>
      <c r="K23" s="312">
        <f t="shared" si="7"/>
        <v>1.5</v>
      </c>
    </row>
    <row r="24" spans="1:11" x14ac:dyDescent="0.25">
      <c r="A24" s="116"/>
      <c r="B24" s="116"/>
      <c r="C24" s="116"/>
      <c r="D24" s="107"/>
      <c r="E24" s="116"/>
      <c r="F24" s="116"/>
      <c r="G24" s="116"/>
      <c r="H24" s="116"/>
    </row>
    <row r="25" spans="1:11" ht="15" customHeight="1" x14ac:dyDescent="0.25">
      <c r="A25" s="311">
        <v>10</v>
      </c>
      <c r="B25" s="588" t="s">
        <v>501</v>
      </c>
      <c r="C25" s="588"/>
      <c r="D25" s="588"/>
      <c r="E25" s="588"/>
      <c r="F25" s="588"/>
      <c r="G25" s="312">
        <f>(G13*G15*G21*G17)+(G23*G19*G15*G13)</f>
        <v>4632012</v>
      </c>
      <c r="H25" s="312">
        <f t="shared" ref="H25:K25" si="8">(H13*H15*H21*H17)+(H23*H19*H15*H13)</f>
        <v>4733916.2640000004</v>
      </c>
      <c r="I25" s="312">
        <f t="shared" si="8"/>
        <v>4838062.4218079988</v>
      </c>
      <c r="J25" s="312">
        <f t="shared" si="8"/>
        <v>4944499.7950877752</v>
      </c>
      <c r="K25" s="312">
        <f t="shared" si="8"/>
        <v>5053278.7905797074</v>
      </c>
    </row>
    <row r="26" spans="1:11" x14ac:dyDescent="0.25">
      <c r="A26" s="116"/>
      <c r="B26" s="116"/>
      <c r="C26" s="116"/>
      <c r="D26" s="107"/>
      <c r="E26" s="116"/>
      <c r="F26" s="116"/>
      <c r="G26" s="116"/>
      <c r="H26" s="116"/>
    </row>
    <row r="27" spans="1:11" x14ac:dyDescent="0.25">
      <c r="A27" s="311">
        <v>11</v>
      </c>
      <c r="B27" s="588" t="s">
        <v>502</v>
      </c>
      <c r="C27" s="588"/>
      <c r="D27" s="316">
        <v>8.6499999999999994E-2</v>
      </c>
      <c r="E27" s="591"/>
      <c r="F27" s="591"/>
      <c r="G27" s="312">
        <f>SUM(G28:G32)</f>
        <v>1327071.4380000001</v>
      </c>
      <c r="H27" s="312">
        <f t="shared" ref="H27:K27" si="9">SUM(H28:H32)</f>
        <v>1356267.0096360003</v>
      </c>
      <c r="I27" s="312">
        <f t="shared" si="9"/>
        <v>1386104.8838479917</v>
      </c>
      <c r="J27" s="312">
        <f t="shared" si="9"/>
        <v>1416599.1912926477</v>
      </c>
      <c r="K27" s="312">
        <f t="shared" si="9"/>
        <v>1447764.3735010861</v>
      </c>
    </row>
    <row r="28" spans="1:11" ht="15" customHeight="1" x14ac:dyDescent="0.25">
      <c r="A28" s="101"/>
      <c r="B28" s="15" t="s">
        <v>28</v>
      </c>
      <c r="C28" s="123" t="s">
        <v>503</v>
      </c>
      <c r="D28" s="294">
        <v>0.05</v>
      </c>
      <c r="E28" s="101"/>
      <c r="F28" s="292"/>
      <c r="G28" s="301">
        <f>G25*$D$28</f>
        <v>231600.6</v>
      </c>
      <c r="H28" s="301">
        <f t="shared" ref="H28:K28" si="10">H25*$D$28</f>
        <v>236695.81320000003</v>
      </c>
      <c r="I28" s="301">
        <f t="shared" si="10"/>
        <v>241903.12109039995</v>
      </c>
      <c r="J28" s="301">
        <f t="shared" si="10"/>
        <v>247224.98975438878</v>
      </c>
      <c r="K28" s="301">
        <f t="shared" si="10"/>
        <v>252663.93952898539</v>
      </c>
    </row>
    <row r="29" spans="1:11" ht="15" customHeight="1" x14ac:dyDescent="0.25">
      <c r="A29" s="101"/>
      <c r="B29" s="15" t="s">
        <v>33</v>
      </c>
      <c r="C29" s="123" t="s">
        <v>504</v>
      </c>
      <c r="D29" s="294">
        <v>0.03</v>
      </c>
      <c r="E29" s="101"/>
      <c r="F29" s="292"/>
      <c r="G29" s="301">
        <f>G25*$D$29</f>
        <v>138960.35999999999</v>
      </c>
      <c r="H29" s="301">
        <f t="shared" ref="H29:K29" si="11">H25*$D$29</f>
        <v>142017.48792000001</v>
      </c>
      <c r="I29" s="301">
        <f t="shared" si="11"/>
        <v>145141.87265423997</v>
      </c>
      <c r="J29" s="301">
        <f t="shared" si="11"/>
        <v>148334.99385263326</v>
      </c>
      <c r="K29" s="301">
        <f t="shared" si="11"/>
        <v>151598.36371739121</v>
      </c>
    </row>
    <row r="30" spans="1:11" x14ac:dyDescent="0.25">
      <c r="A30" s="101"/>
      <c r="B30" s="15" t="s">
        <v>39</v>
      </c>
      <c r="C30" s="123" t="s">
        <v>505</v>
      </c>
      <c r="D30" s="294">
        <v>6.4999999999999997E-3</v>
      </c>
      <c r="E30" s="101"/>
      <c r="F30" s="292"/>
      <c r="G30" s="301">
        <f>G25*$D$30</f>
        <v>30108.077999999998</v>
      </c>
      <c r="H30" s="301">
        <f t="shared" ref="H30:K30" si="12">H25*$D$30</f>
        <v>30770.455716</v>
      </c>
      <c r="I30" s="301">
        <f t="shared" si="12"/>
        <v>31447.405741751991</v>
      </c>
      <c r="J30" s="301">
        <f t="shared" si="12"/>
        <v>32139.248668070537</v>
      </c>
      <c r="K30" s="301">
        <f t="shared" si="12"/>
        <v>32846.312138768095</v>
      </c>
    </row>
    <row r="31" spans="1:11" ht="15" customHeight="1" x14ac:dyDescent="0.25">
      <c r="A31" s="101"/>
      <c r="B31" s="15" t="s">
        <v>40</v>
      </c>
      <c r="C31" s="123" t="s">
        <v>506</v>
      </c>
      <c r="D31" s="294">
        <v>0</v>
      </c>
      <c r="E31" s="101"/>
      <c r="F31" s="292"/>
      <c r="G31" s="301">
        <f>G25*$D$31</f>
        <v>0</v>
      </c>
      <c r="H31" s="301">
        <f t="shared" ref="H31:K31" si="13">H25*$D$31</f>
        <v>0</v>
      </c>
      <c r="I31" s="301">
        <f t="shared" si="13"/>
        <v>0</v>
      </c>
      <c r="J31" s="301">
        <f t="shared" si="13"/>
        <v>0</v>
      </c>
      <c r="K31" s="301">
        <f t="shared" si="13"/>
        <v>0</v>
      </c>
    </row>
    <row r="32" spans="1:11" ht="15" customHeight="1" x14ac:dyDescent="0.25">
      <c r="A32" s="101"/>
      <c r="B32" s="15" t="s">
        <v>41</v>
      </c>
      <c r="C32" s="123" t="s">
        <v>16</v>
      </c>
      <c r="D32" s="347">
        <v>0.2</v>
      </c>
      <c r="E32" s="442"/>
      <c r="F32" s="590"/>
      <c r="G32" s="301">
        <f>G25*$D$32</f>
        <v>926402.4</v>
      </c>
      <c r="H32" s="301">
        <f t="shared" ref="H32:K32" si="14">H25*$D$32</f>
        <v>946783.25280000013</v>
      </c>
      <c r="I32" s="301">
        <f t="shared" si="14"/>
        <v>967612.48436159978</v>
      </c>
      <c r="J32" s="301">
        <f t="shared" si="14"/>
        <v>988899.95901755511</v>
      </c>
      <c r="K32" s="301">
        <f t="shared" si="14"/>
        <v>1010655.7581159415</v>
      </c>
    </row>
    <row r="33" spans="1:11" x14ac:dyDescent="0.25">
      <c r="A33" s="116"/>
      <c r="B33" s="116"/>
      <c r="C33" s="116"/>
      <c r="D33" s="107"/>
      <c r="E33" s="116"/>
      <c r="F33" s="116"/>
      <c r="G33" s="116"/>
      <c r="H33" s="116"/>
    </row>
    <row r="34" spans="1:11" ht="15" customHeight="1" x14ac:dyDescent="0.25">
      <c r="A34" s="311">
        <v>12</v>
      </c>
      <c r="B34" s="588" t="s">
        <v>507</v>
      </c>
      <c r="C34" s="588"/>
      <c r="D34" s="588"/>
      <c r="E34" s="588"/>
      <c r="F34" s="588"/>
      <c r="G34" s="312">
        <f>G25-G27</f>
        <v>3304940.5619999999</v>
      </c>
      <c r="H34" s="293">
        <f>H25-H27</f>
        <v>3377649.2543640002</v>
      </c>
      <c r="I34" s="293">
        <f t="shared" ref="I34:K34" si="15">I25-I27</f>
        <v>3451957.5379600069</v>
      </c>
      <c r="J34" s="293">
        <f t="shared" si="15"/>
        <v>3527900.6037951275</v>
      </c>
      <c r="K34" s="293">
        <f t="shared" si="15"/>
        <v>3605514.4170786212</v>
      </c>
    </row>
    <row r="35" spans="1:11" x14ac:dyDescent="0.25">
      <c r="A35" s="116"/>
      <c r="B35" s="116"/>
      <c r="C35" s="116"/>
      <c r="D35" s="107"/>
      <c r="E35" s="116"/>
      <c r="F35" s="116"/>
      <c r="G35" s="116"/>
      <c r="H35" s="116"/>
    </row>
    <row r="36" spans="1:11" ht="15" customHeight="1" x14ac:dyDescent="0.25">
      <c r="A36" s="311">
        <v>13</v>
      </c>
      <c r="B36" s="589" t="s">
        <v>508</v>
      </c>
      <c r="C36" s="589"/>
      <c r="D36" s="589"/>
      <c r="E36" s="589"/>
      <c r="F36" s="589"/>
      <c r="G36" s="312">
        <f>G38+G42+G49+G53</f>
        <v>2292865.3711131429</v>
      </c>
      <c r="H36" s="312">
        <f t="shared" ref="H36:K36" si="16">H38+H42+H49+H53</f>
        <v>2292865.3711131429</v>
      </c>
      <c r="I36" s="312">
        <f t="shared" si="16"/>
        <v>2292865.3711131429</v>
      </c>
      <c r="J36" s="312">
        <f t="shared" si="16"/>
        <v>2292865.3711131429</v>
      </c>
      <c r="K36" s="312">
        <f t="shared" si="16"/>
        <v>2292865.3711131429</v>
      </c>
    </row>
    <row r="37" spans="1:11" x14ac:dyDescent="0.25">
      <c r="A37" s="116"/>
      <c r="B37" s="116"/>
      <c r="C37" s="116"/>
      <c r="D37" s="107"/>
      <c r="E37" s="116"/>
      <c r="F37" s="116"/>
      <c r="G37" s="116"/>
      <c r="H37" s="116"/>
    </row>
    <row r="38" spans="1:11" ht="15" customHeight="1" x14ac:dyDescent="0.25">
      <c r="A38" s="317" t="s">
        <v>533</v>
      </c>
      <c r="B38" s="588" t="s">
        <v>509</v>
      </c>
      <c r="C38" s="588"/>
      <c r="D38" s="588"/>
      <c r="E38" s="588"/>
      <c r="F38" s="588"/>
      <c r="G38" s="312">
        <f>SUM(G39:G41)</f>
        <v>1398318.3802559997</v>
      </c>
      <c r="H38" s="312">
        <f t="shared" ref="H38:K38" si="17">SUM(H39:H41)</f>
        <v>1398318.3802559997</v>
      </c>
      <c r="I38" s="312">
        <f t="shared" si="17"/>
        <v>1398318.3802559997</v>
      </c>
      <c r="J38" s="312">
        <f t="shared" si="17"/>
        <v>1398318.3802559997</v>
      </c>
      <c r="K38" s="312">
        <f t="shared" si="17"/>
        <v>1398318.3802559997</v>
      </c>
    </row>
    <row r="39" spans="1:11" ht="15" customHeight="1" x14ac:dyDescent="0.25">
      <c r="A39" s="101"/>
      <c r="B39" s="177" t="s">
        <v>28</v>
      </c>
      <c r="C39" s="309" t="s">
        <v>26</v>
      </c>
      <c r="D39" s="107"/>
      <c r="E39" s="101"/>
      <c r="F39" s="292"/>
      <c r="G39" s="301">
        <f>'P13-CUSTO DO SERVIÇO'!$G$8</f>
        <v>903881.52556799992</v>
      </c>
      <c r="H39" s="301">
        <f>'P13-CUSTO DO SERVIÇO'!$G$8</f>
        <v>903881.52556799992</v>
      </c>
      <c r="I39" s="301">
        <f>'P13-CUSTO DO SERVIÇO'!$G$8</f>
        <v>903881.52556799992</v>
      </c>
      <c r="J39" s="301">
        <f>'P13-CUSTO DO SERVIÇO'!$G$8</f>
        <v>903881.52556799992</v>
      </c>
      <c r="K39" s="301">
        <f>'P13-CUSTO DO SERVIÇO'!$G$8</f>
        <v>903881.52556799992</v>
      </c>
    </row>
    <row r="40" spans="1:11" ht="15" customHeight="1" x14ac:dyDescent="0.25">
      <c r="A40" s="101"/>
      <c r="B40" s="15" t="s">
        <v>33</v>
      </c>
      <c r="C40" s="123" t="s">
        <v>35</v>
      </c>
      <c r="D40" s="107"/>
      <c r="E40" s="101"/>
      <c r="F40" s="292"/>
      <c r="G40" s="301">
        <f>'P13-CUSTO DO SERVIÇO'!$G$14</f>
        <v>376358.39068800001</v>
      </c>
      <c r="H40" s="301">
        <f>'P13-CUSTO DO SERVIÇO'!$G$14</f>
        <v>376358.39068800001</v>
      </c>
      <c r="I40" s="301">
        <f>'P13-CUSTO DO SERVIÇO'!$G$14</f>
        <v>376358.39068800001</v>
      </c>
      <c r="J40" s="301">
        <f>'P13-CUSTO DO SERVIÇO'!$G$14</f>
        <v>376358.39068800001</v>
      </c>
      <c r="K40" s="301">
        <f>'P13-CUSTO DO SERVIÇO'!$G$14</f>
        <v>376358.39068800001</v>
      </c>
    </row>
    <row r="41" spans="1:11" x14ac:dyDescent="0.25">
      <c r="A41" s="101"/>
      <c r="B41" s="159" t="s">
        <v>39</v>
      </c>
      <c r="C41" s="338" t="s">
        <v>47</v>
      </c>
      <c r="D41" s="107"/>
      <c r="E41" s="101"/>
      <c r="F41" s="292"/>
      <c r="G41" s="301">
        <f>'P13-CUSTO DO SERVIÇO'!$G$19</f>
        <v>118078.46399999999</v>
      </c>
      <c r="H41" s="301">
        <f>'P13-CUSTO DO SERVIÇO'!$G$19</f>
        <v>118078.46399999999</v>
      </c>
      <c r="I41" s="301">
        <f>'P13-CUSTO DO SERVIÇO'!$G$19</f>
        <v>118078.46399999999</v>
      </c>
      <c r="J41" s="301">
        <f>'P13-CUSTO DO SERVIÇO'!$G$19</f>
        <v>118078.46399999999</v>
      </c>
      <c r="K41" s="301">
        <f>'P13-CUSTO DO SERVIÇO'!$G$19</f>
        <v>118078.46399999999</v>
      </c>
    </row>
    <row r="42" spans="1:11" ht="15" customHeight="1" x14ac:dyDescent="0.25">
      <c r="A42" s="317" t="s">
        <v>534</v>
      </c>
      <c r="B42" s="588" t="s">
        <v>510</v>
      </c>
      <c r="C42" s="588"/>
      <c r="D42" s="588"/>
      <c r="E42" s="588"/>
      <c r="F42" s="588"/>
      <c r="G42" s="312">
        <f>SUM(G43:G48)</f>
        <v>401556</v>
      </c>
      <c r="H42" s="293">
        <f>$G$42</f>
        <v>401556</v>
      </c>
      <c r="I42" s="293">
        <f t="shared" ref="I42:K42" si="18">$G$42</f>
        <v>401556</v>
      </c>
      <c r="J42" s="293">
        <f t="shared" si="18"/>
        <v>401556</v>
      </c>
      <c r="K42" s="293">
        <f t="shared" si="18"/>
        <v>401556</v>
      </c>
    </row>
    <row r="43" spans="1:11" ht="15" customHeight="1" x14ac:dyDescent="0.25">
      <c r="A43" s="101"/>
      <c r="B43" s="177" t="s">
        <v>28</v>
      </c>
      <c r="C43" s="309" t="s">
        <v>53</v>
      </c>
      <c r="D43" s="107"/>
      <c r="E43" s="101"/>
      <c r="F43" s="292"/>
      <c r="G43" s="301">
        <f>'P13-CUSTO DO SERVIÇO'!G27</f>
        <v>195840</v>
      </c>
      <c r="H43" s="295">
        <v>214200</v>
      </c>
      <c r="I43" s="295">
        <v>214201</v>
      </c>
      <c r="J43" s="295">
        <v>214202</v>
      </c>
      <c r="K43" s="295">
        <v>214203</v>
      </c>
    </row>
    <row r="44" spans="1:11" ht="15" customHeight="1" x14ac:dyDescent="0.25">
      <c r="A44" s="101"/>
      <c r="B44" s="15" t="s">
        <v>33</v>
      </c>
      <c r="C44" s="123" t="s">
        <v>54</v>
      </c>
      <c r="D44" s="107"/>
      <c r="E44" s="101"/>
      <c r="F44" s="292"/>
      <c r="G44" s="301">
        <f>'P13-CUSTO DO SERVIÇO'!G32</f>
        <v>78336</v>
      </c>
      <c r="H44" s="295">
        <f>$G$44</f>
        <v>78336</v>
      </c>
      <c r="I44" s="295">
        <f t="shared" ref="I44:K44" si="19">$G$44</f>
        <v>78336</v>
      </c>
      <c r="J44" s="295">
        <f t="shared" si="19"/>
        <v>78336</v>
      </c>
      <c r="K44" s="295">
        <f t="shared" si="19"/>
        <v>78336</v>
      </c>
    </row>
    <row r="45" spans="1:11" x14ac:dyDescent="0.25">
      <c r="A45" s="101"/>
      <c r="B45" s="15" t="s">
        <v>39</v>
      </c>
      <c r="C45" s="123" t="s">
        <v>56</v>
      </c>
      <c r="D45" s="107"/>
      <c r="E45" s="101"/>
      <c r="F45" s="292"/>
      <c r="G45" s="301">
        <f>'P13-CUSTO DO SERVIÇO'!G37</f>
        <v>61200</v>
      </c>
      <c r="H45" s="295">
        <f>$G$45</f>
        <v>61200</v>
      </c>
      <c r="I45" s="295">
        <f t="shared" ref="I45:K45" si="20">$G$45</f>
        <v>61200</v>
      </c>
      <c r="J45" s="295">
        <f t="shared" si="20"/>
        <v>61200</v>
      </c>
      <c r="K45" s="295">
        <f t="shared" si="20"/>
        <v>61200</v>
      </c>
    </row>
    <row r="46" spans="1:11" ht="15" customHeight="1" x14ac:dyDescent="0.25">
      <c r="A46" s="101"/>
      <c r="B46" s="15" t="s">
        <v>40</v>
      </c>
      <c r="C46" s="123" t="s">
        <v>511</v>
      </c>
      <c r="D46" s="107"/>
      <c r="E46" s="101"/>
      <c r="F46" s="292"/>
      <c r="G46" s="301">
        <f>'P13-CUSTO DO SERVIÇO'!G42</f>
        <v>18360</v>
      </c>
      <c r="H46" s="295">
        <f>$G$46</f>
        <v>18360</v>
      </c>
      <c r="I46" s="295">
        <f t="shared" ref="I46:K46" si="21">$G$46</f>
        <v>18360</v>
      </c>
      <c r="J46" s="295">
        <f t="shared" si="21"/>
        <v>18360</v>
      </c>
      <c r="K46" s="295">
        <f t="shared" si="21"/>
        <v>18360</v>
      </c>
    </row>
    <row r="47" spans="1:11" x14ac:dyDescent="0.25">
      <c r="A47" s="101"/>
      <c r="B47" s="15" t="s">
        <v>41</v>
      </c>
      <c r="C47" s="123" t="s">
        <v>61</v>
      </c>
      <c r="D47" s="107"/>
      <c r="E47" s="101"/>
      <c r="F47" s="292"/>
      <c r="G47" s="301">
        <f>'P13-CUSTO DO SERVIÇO'!G52</f>
        <v>45660</v>
      </c>
      <c r="H47" s="295">
        <f>$G$47</f>
        <v>45660</v>
      </c>
      <c r="I47" s="295">
        <f t="shared" ref="I47:K47" si="22">$G$47</f>
        <v>45660</v>
      </c>
      <c r="J47" s="295">
        <f t="shared" si="22"/>
        <v>45660</v>
      </c>
      <c r="K47" s="295">
        <f t="shared" si="22"/>
        <v>45660</v>
      </c>
    </row>
    <row r="48" spans="1:11" x14ac:dyDescent="0.25">
      <c r="A48" s="101"/>
      <c r="B48" s="159" t="s">
        <v>42</v>
      </c>
      <c r="C48" s="338" t="s">
        <v>72</v>
      </c>
      <c r="D48" s="107"/>
      <c r="E48" s="101"/>
      <c r="F48" s="292"/>
      <c r="G48" s="301">
        <f>'P13-CUSTO DO SERVIÇO'!G55</f>
        <v>2160</v>
      </c>
      <c r="H48" s="296">
        <f>$G$48</f>
        <v>2160</v>
      </c>
      <c r="I48" s="296">
        <f t="shared" ref="I48:K48" si="23">$G$48</f>
        <v>2160</v>
      </c>
      <c r="J48" s="296">
        <f t="shared" si="23"/>
        <v>2160</v>
      </c>
      <c r="K48" s="296">
        <f t="shared" si="23"/>
        <v>2160</v>
      </c>
    </row>
    <row r="49" spans="1:11" ht="15" customHeight="1" x14ac:dyDescent="0.25">
      <c r="A49" s="317" t="s">
        <v>535</v>
      </c>
      <c r="B49" s="588" t="s">
        <v>411</v>
      </c>
      <c r="C49" s="588"/>
      <c r="D49" s="588"/>
      <c r="E49" s="588"/>
      <c r="F49" s="588"/>
      <c r="G49" s="312">
        <f>SUM(G50:G54)</f>
        <v>477412.6605714286</v>
      </c>
      <c r="H49" s="293">
        <f>$G$49</f>
        <v>477412.6605714286</v>
      </c>
      <c r="I49" s="293">
        <f t="shared" ref="I49:K49" si="24">$G$49</f>
        <v>477412.6605714286</v>
      </c>
      <c r="J49" s="293">
        <f t="shared" si="24"/>
        <v>477412.6605714286</v>
      </c>
      <c r="K49" s="293">
        <f t="shared" si="24"/>
        <v>477412.6605714286</v>
      </c>
    </row>
    <row r="50" spans="1:11" ht="15" customHeight="1" x14ac:dyDescent="0.25">
      <c r="A50" s="101"/>
      <c r="B50" s="177" t="s">
        <v>28</v>
      </c>
      <c r="C50" s="309" t="s">
        <v>82</v>
      </c>
      <c r="D50" s="107"/>
      <c r="E50" s="101"/>
      <c r="F50" s="292"/>
      <c r="G50" s="301">
        <f>'P13-CUSTO DO SERVIÇO'!G70</f>
        <v>135300</v>
      </c>
      <c r="H50" s="295">
        <f>$G$50</f>
        <v>135300</v>
      </c>
      <c r="I50" s="295">
        <f t="shared" ref="I50:K50" si="25">$G$50</f>
        <v>135300</v>
      </c>
      <c r="J50" s="295">
        <f t="shared" si="25"/>
        <v>135300</v>
      </c>
      <c r="K50" s="295">
        <f t="shared" si="25"/>
        <v>135300</v>
      </c>
    </row>
    <row r="51" spans="1:11" ht="15" customHeight="1" x14ac:dyDescent="0.25">
      <c r="A51" s="101"/>
      <c r="B51" s="15" t="s">
        <v>33</v>
      </c>
      <c r="C51" s="123" t="s">
        <v>95</v>
      </c>
      <c r="D51" s="107"/>
      <c r="E51" s="101"/>
      <c r="F51" s="292"/>
      <c r="G51" s="301">
        <f>'P13-CUSTO DO SERVIÇO'!G78</f>
        <v>132750</v>
      </c>
      <c r="H51" s="295">
        <f>$G$51</f>
        <v>132750</v>
      </c>
      <c r="I51" s="295">
        <f t="shared" ref="I51:K51" si="26">$G$51</f>
        <v>132750</v>
      </c>
      <c r="J51" s="295">
        <f t="shared" si="26"/>
        <v>132750</v>
      </c>
      <c r="K51" s="295">
        <f t="shared" si="26"/>
        <v>132750</v>
      </c>
    </row>
    <row r="52" spans="1:11" x14ac:dyDescent="0.25">
      <c r="A52" s="101"/>
      <c r="B52" s="159" t="s">
        <v>39</v>
      </c>
      <c r="C52" s="338" t="s">
        <v>102</v>
      </c>
      <c r="D52" s="107"/>
      <c r="E52" s="101"/>
      <c r="F52" s="292"/>
      <c r="G52" s="301">
        <f>'P13-CUSTO DO SERVIÇO'!G89</f>
        <v>178206</v>
      </c>
      <c r="H52" s="295">
        <f>$G$52</f>
        <v>178206</v>
      </c>
      <c r="I52" s="295">
        <f t="shared" ref="I52:K52" si="27">$G$52</f>
        <v>178206</v>
      </c>
      <c r="J52" s="295">
        <f t="shared" si="27"/>
        <v>178206</v>
      </c>
      <c r="K52" s="295">
        <f t="shared" si="27"/>
        <v>178206</v>
      </c>
    </row>
    <row r="53" spans="1:11" ht="15" customHeight="1" x14ac:dyDescent="0.25">
      <c r="A53" s="317" t="s">
        <v>536</v>
      </c>
      <c r="B53" s="588" t="s">
        <v>412</v>
      </c>
      <c r="C53" s="588"/>
      <c r="D53" s="588"/>
      <c r="E53" s="588"/>
      <c r="F53" s="588"/>
      <c r="G53" s="312">
        <f>G54</f>
        <v>15578.330285714284</v>
      </c>
      <c r="H53" s="312">
        <f>$G$53</f>
        <v>15578.330285714284</v>
      </c>
      <c r="I53" s="312">
        <f t="shared" ref="I53:K53" si="28">$G$53</f>
        <v>15578.330285714284</v>
      </c>
      <c r="J53" s="312">
        <f t="shared" si="28"/>
        <v>15578.330285714284</v>
      </c>
      <c r="K53" s="312">
        <f t="shared" si="28"/>
        <v>15578.330285714284</v>
      </c>
    </row>
    <row r="54" spans="1:11" ht="15" customHeight="1" x14ac:dyDescent="0.25">
      <c r="A54" s="101"/>
      <c r="B54" s="308" t="s">
        <v>28</v>
      </c>
      <c r="C54" s="309" t="s">
        <v>286</v>
      </c>
      <c r="D54" s="107"/>
      <c r="E54" s="101"/>
      <c r="F54" s="292"/>
      <c r="G54" s="301">
        <f>'P13-CUSTO DO SERVIÇO'!G96</f>
        <v>15578.330285714284</v>
      </c>
      <c r="H54" s="295">
        <f>$G$54</f>
        <v>15578.330285714284</v>
      </c>
      <c r="I54" s="295">
        <f t="shared" ref="I54:K54" si="29">$G$54</f>
        <v>15578.330285714284</v>
      </c>
      <c r="J54" s="295">
        <f t="shared" si="29"/>
        <v>15578.330285714284</v>
      </c>
      <c r="K54" s="295">
        <f t="shared" si="29"/>
        <v>15578.330285714284</v>
      </c>
    </row>
    <row r="55" spans="1:11" x14ac:dyDescent="0.25">
      <c r="A55" s="116"/>
      <c r="B55" s="116"/>
      <c r="C55" s="116"/>
      <c r="D55" s="107"/>
      <c r="E55" s="116"/>
      <c r="F55" s="116"/>
      <c r="G55" s="116"/>
      <c r="H55" s="116"/>
    </row>
    <row r="56" spans="1:11" ht="15" customHeight="1" x14ac:dyDescent="0.25">
      <c r="A56" s="311">
        <v>14</v>
      </c>
      <c r="B56" s="589" t="s">
        <v>512</v>
      </c>
      <c r="C56" s="589"/>
      <c r="D56" s="589"/>
      <c r="E56" s="589"/>
      <c r="F56" s="589"/>
      <c r="G56" s="337">
        <f>G34-G36</f>
        <v>1012075.190886857</v>
      </c>
      <c r="H56" s="315">
        <f t="shared" ref="H56:K56" si="30">H34-H36</f>
        <v>1084783.8832508572</v>
      </c>
      <c r="I56" s="315">
        <f t="shared" si="30"/>
        <v>1159092.1668468639</v>
      </c>
      <c r="J56" s="315">
        <f t="shared" si="30"/>
        <v>1235035.2326819845</v>
      </c>
      <c r="K56" s="319">
        <f t="shared" si="30"/>
        <v>1312649.0459654783</v>
      </c>
    </row>
    <row r="57" spans="1:11" ht="15" customHeight="1" x14ac:dyDescent="0.25">
      <c r="A57" s="101"/>
      <c r="B57" s="308" t="s">
        <v>28</v>
      </c>
      <c r="C57" s="309" t="s">
        <v>513</v>
      </c>
      <c r="D57" s="107"/>
      <c r="E57" s="101"/>
      <c r="F57" s="292"/>
      <c r="G57" s="302">
        <f>G56/G25</f>
        <v>0.21849580503825486</v>
      </c>
      <c r="H57" s="302">
        <f t="shared" ref="H57:K57" si="31">H56/H25</f>
        <v>0.22915147264017113</v>
      </c>
      <c r="I57" s="302">
        <f t="shared" si="31"/>
        <v>0.23957776187883653</v>
      </c>
      <c r="J57" s="302">
        <f t="shared" si="31"/>
        <v>0.24977961044895949</v>
      </c>
      <c r="K57" s="320">
        <f t="shared" si="31"/>
        <v>0.25976184975436362</v>
      </c>
    </row>
    <row r="58" spans="1:11" x14ac:dyDescent="0.25">
      <c r="A58" s="116"/>
      <c r="B58" s="116"/>
      <c r="C58" s="116"/>
      <c r="D58" s="107"/>
      <c r="E58" s="116"/>
      <c r="F58" s="116"/>
      <c r="G58" s="116"/>
      <c r="H58" s="116"/>
    </row>
    <row r="59" spans="1:11" ht="15" customHeight="1" x14ac:dyDescent="0.25">
      <c r="A59" s="311">
        <v>15</v>
      </c>
      <c r="B59" s="589" t="s">
        <v>514</v>
      </c>
      <c r="C59" s="589"/>
      <c r="D59" s="589"/>
      <c r="E59" s="589"/>
      <c r="F59" s="589"/>
      <c r="G59" s="312">
        <f>SUM(G60:G62)</f>
        <v>99924.68</v>
      </c>
      <c r="H59" s="312">
        <f>SUM(H60:H62)</f>
        <v>99924.68</v>
      </c>
      <c r="I59" s="312">
        <f>SUM(I60:I62)</f>
        <v>99924.68</v>
      </c>
      <c r="J59" s="312">
        <f>SUM(J60:J62)</f>
        <v>99924.68</v>
      </c>
      <c r="K59" s="312">
        <f>SUM(K60:K62)</f>
        <v>99924.68</v>
      </c>
    </row>
    <row r="60" spans="1:11" x14ac:dyDescent="0.25">
      <c r="A60" s="101"/>
      <c r="B60" s="308" t="s">
        <v>296</v>
      </c>
      <c r="C60" s="309" t="str">
        <f>'P9-DEPRECIAÇÃO'!B16</f>
        <v>Veículo - Utilitário</v>
      </c>
      <c r="D60" s="107"/>
      <c r="E60" s="101"/>
      <c r="F60" s="292"/>
      <c r="G60" s="301">
        <f>'P9-DEPRECIAÇÃO'!$H$23</f>
        <v>3439.68</v>
      </c>
      <c r="H60" s="295">
        <f>$G$60</f>
        <v>3439.68</v>
      </c>
      <c r="I60" s="295">
        <f t="shared" ref="I60:K60" si="32">$G$60</f>
        <v>3439.68</v>
      </c>
      <c r="J60" s="295">
        <f t="shared" si="32"/>
        <v>3439.68</v>
      </c>
      <c r="K60" s="295">
        <f t="shared" si="32"/>
        <v>3439.68</v>
      </c>
    </row>
    <row r="61" spans="1:11" x14ac:dyDescent="0.25">
      <c r="A61" s="101"/>
      <c r="B61" s="13" t="s">
        <v>137</v>
      </c>
      <c r="C61" s="213" t="str">
        <f>'P9-DEPRECIAÇÃO'!B24</f>
        <v>Depreciação de Equipamentos Eletrônicos, Parquímetros, TI e Comunicação</v>
      </c>
      <c r="D61" s="107"/>
      <c r="E61" s="101"/>
      <c r="F61" s="292"/>
      <c r="G61" s="301">
        <f>'P9-DEPRECIAÇÃO'!$H$36</f>
        <v>22720</v>
      </c>
      <c r="H61" s="295">
        <f>$G$61</f>
        <v>22720</v>
      </c>
      <c r="I61" s="295">
        <f t="shared" ref="I61:K61" si="33">$G$61</f>
        <v>22720</v>
      </c>
      <c r="J61" s="295">
        <f t="shared" si="33"/>
        <v>22720</v>
      </c>
      <c r="K61" s="295">
        <f t="shared" si="33"/>
        <v>22720</v>
      </c>
    </row>
    <row r="62" spans="1:11" x14ac:dyDescent="0.25">
      <c r="A62" s="101"/>
      <c r="B62" s="13" t="s">
        <v>113</v>
      </c>
      <c r="C62" s="123" t="str">
        <f>'P9-DEPRECIAÇÃO'!B37</f>
        <v>Depreciação de Sinalização</v>
      </c>
      <c r="D62" s="119"/>
      <c r="E62" s="101"/>
      <c r="F62" s="292"/>
      <c r="G62" s="301">
        <f>'P9-DEPRECIAÇÃO'!H44</f>
        <v>73765</v>
      </c>
      <c r="H62" s="295">
        <f>$G$62</f>
        <v>73765</v>
      </c>
      <c r="I62" s="295">
        <f t="shared" ref="I62:K62" si="34">$G$62</f>
        <v>73765</v>
      </c>
      <c r="J62" s="295">
        <f t="shared" si="34"/>
        <v>73765</v>
      </c>
      <c r="K62" s="295">
        <f t="shared" si="34"/>
        <v>73765</v>
      </c>
    </row>
    <row r="63" spans="1:11" x14ac:dyDescent="0.25">
      <c r="A63" s="116"/>
      <c r="B63" s="116"/>
      <c r="C63" s="116"/>
      <c r="D63" s="107"/>
      <c r="E63" s="116"/>
      <c r="F63" s="116"/>
      <c r="G63" s="116"/>
      <c r="H63" s="116"/>
    </row>
    <row r="64" spans="1:11" ht="15" customHeight="1" x14ac:dyDescent="0.25">
      <c r="A64" s="311">
        <v>16</v>
      </c>
      <c r="B64" s="589" t="s">
        <v>516</v>
      </c>
      <c r="C64" s="589"/>
      <c r="D64" s="589"/>
      <c r="E64" s="589"/>
      <c r="F64" s="589"/>
      <c r="G64" s="337">
        <f>G56-G59</f>
        <v>912150.51088685705</v>
      </c>
      <c r="H64" s="315">
        <f t="shared" ref="H64:K64" si="35">H56-H59</f>
        <v>984859.2032508573</v>
      </c>
      <c r="I64" s="315">
        <f t="shared" si="35"/>
        <v>1059167.486846864</v>
      </c>
      <c r="J64" s="315">
        <f t="shared" si="35"/>
        <v>1135110.5526819846</v>
      </c>
      <c r="K64" s="321">
        <f t="shared" si="35"/>
        <v>1212724.3659654784</v>
      </c>
    </row>
    <row r="65" spans="1:11" x14ac:dyDescent="0.25">
      <c r="A65" s="291"/>
      <c r="B65" s="101"/>
      <c r="C65" s="101"/>
      <c r="D65" s="107"/>
      <c r="E65" s="101"/>
      <c r="F65" s="101"/>
      <c r="G65" s="327"/>
      <c r="H65" s="327"/>
      <c r="I65" s="327"/>
      <c r="J65" s="327"/>
      <c r="K65" s="327"/>
    </row>
    <row r="66" spans="1:11" x14ac:dyDescent="0.25">
      <c r="A66" s="116"/>
      <c r="B66" s="116"/>
      <c r="C66" s="116"/>
      <c r="D66" s="107"/>
      <c r="E66" s="116"/>
      <c r="F66" s="116"/>
      <c r="G66" s="116"/>
      <c r="H66" s="116"/>
    </row>
    <row r="67" spans="1:11" ht="15" customHeight="1" x14ac:dyDescent="0.25">
      <c r="A67" s="311">
        <v>17</v>
      </c>
      <c r="B67" s="588" t="s">
        <v>517</v>
      </c>
      <c r="C67" s="588"/>
      <c r="D67" s="588"/>
      <c r="E67" s="588"/>
      <c r="F67" s="588"/>
      <c r="G67" s="314">
        <f>SUM(G68:G73)</f>
        <v>108852.28199999999</v>
      </c>
      <c r="H67" s="314">
        <f t="shared" ref="H67:K67" si="36">SUM(H68:H73)</f>
        <v>111247.03220400002</v>
      </c>
      <c r="I67" s="314">
        <f t="shared" si="36"/>
        <v>113694.46691248797</v>
      </c>
      <c r="J67" s="314">
        <f t="shared" si="36"/>
        <v>116195.74518456274</v>
      </c>
      <c r="K67" s="314">
        <f t="shared" si="36"/>
        <v>118752.05157862313</v>
      </c>
    </row>
    <row r="68" spans="1:11" ht="15" customHeight="1" x14ac:dyDescent="0.25">
      <c r="A68" s="291"/>
      <c r="B68" s="308" t="s">
        <v>28</v>
      </c>
      <c r="C68" s="309" t="str">
        <f>'P12-MODAL DE PAGAMENTO'!C5</f>
        <v>Moeda Nacional</v>
      </c>
      <c r="D68" s="297"/>
      <c r="E68" s="297"/>
      <c r="F68" s="292"/>
      <c r="G68" s="300">
        <f>'P12-MODAL DE PAGAMENTO'!F5*12</f>
        <v>0</v>
      </c>
      <c r="H68" s="322">
        <f>$H$25*'P12-MODAL DE PAGAMENTO'!D5*'P12-MODAL DE PAGAMENTO'!E5</f>
        <v>0</v>
      </c>
      <c r="I68" s="322">
        <f t="shared" ref="I68:K68" si="37">$G$68</f>
        <v>0</v>
      </c>
      <c r="J68" s="322">
        <f t="shared" si="37"/>
        <v>0</v>
      </c>
      <c r="K68" s="322">
        <f t="shared" si="37"/>
        <v>0</v>
      </c>
    </row>
    <row r="69" spans="1:11" ht="15" customHeight="1" x14ac:dyDescent="0.25">
      <c r="A69" s="291"/>
      <c r="B69" s="13" t="s">
        <v>33</v>
      </c>
      <c r="C69" s="123" t="str">
        <f>'P12-MODAL DE PAGAMENTO'!C6</f>
        <v>Cartão de Crédito</v>
      </c>
      <c r="D69" s="297"/>
      <c r="E69" s="297"/>
      <c r="F69" s="292"/>
      <c r="G69" s="300">
        <f>'P12-MODAL DE PAGAMENTO'!F6*12</f>
        <v>46320.12</v>
      </c>
      <c r="H69" s="322">
        <f>$H$25*'P12-MODAL DE PAGAMENTO'!D6*'P12-MODAL DE PAGAMENTO'!E6</f>
        <v>47339.16264000001</v>
      </c>
      <c r="I69" s="322">
        <f>$I$25*'P12-MODAL DE PAGAMENTO'!$D$6*'P12-MODAL DE PAGAMENTO'!$E$6</f>
        <v>48380.624218079989</v>
      </c>
      <c r="J69" s="322">
        <f>$J$25*'P12-MODAL DE PAGAMENTO'!$D$6*'P12-MODAL DE PAGAMENTO'!$E$6</f>
        <v>49444.997950877761</v>
      </c>
      <c r="K69" s="322">
        <f>$K$25*'P12-MODAL DE PAGAMENTO'!$D$6*'P12-MODAL DE PAGAMENTO'!$E$6</f>
        <v>50532.787905797079</v>
      </c>
    </row>
    <row r="70" spans="1:11" ht="15" customHeight="1" x14ac:dyDescent="0.25">
      <c r="A70" s="101"/>
      <c r="B70" s="13" t="s">
        <v>39</v>
      </c>
      <c r="C70" s="123" t="str">
        <f>'P12-MODAL DE PAGAMENTO'!C7</f>
        <v>Cartão de Débito</v>
      </c>
      <c r="D70" s="298"/>
      <c r="E70" s="298"/>
      <c r="F70" s="292"/>
      <c r="G70" s="300">
        <f>'P12-MODAL DE PAGAMENTO'!F7*12</f>
        <v>9264.0239999999994</v>
      </c>
      <c r="H70" s="322">
        <f>$H$25*'P12-MODAL DE PAGAMENTO'!$D$7*'P12-MODAL DE PAGAMENTO'!$E$7</f>
        <v>9467.8325280000008</v>
      </c>
      <c r="I70" s="322">
        <f>$I$25*'P12-MODAL DE PAGAMENTO'!$D$7*'P12-MODAL DE PAGAMENTO'!$E$7</f>
        <v>9676.1248436159985</v>
      </c>
      <c r="J70" s="322">
        <f>$J$25*'P12-MODAL DE PAGAMENTO'!$D$7*'P12-MODAL DE PAGAMENTO'!$E$7</f>
        <v>9888.9995901755519</v>
      </c>
      <c r="K70" s="322">
        <f>$K$25*'P12-MODAL DE PAGAMENTO'!$D$7*'P12-MODAL DE PAGAMENTO'!$E$7</f>
        <v>10106.557581159415</v>
      </c>
    </row>
    <row r="71" spans="1:11" ht="15" customHeight="1" x14ac:dyDescent="0.25">
      <c r="A71" s="101"/>
      <c r="B71" s="13" t="s">
        <v>40</v>
      </c>
      <c r="C71" s="123" t="str">
        <f>'P12-MODAL DE PAGAMENTO'!C8</f>
        <v>Pix</v>
      </c>
      <c r="D71" s="298"/>
      <c r="E71" s="298"/>
      <c r="F71" s="292"/>
      <c r="G71" s="300">
        <f>'P12-MODAL DE PAGAMENTO'!F8*12</f>
        <v>18528.047999999999</v>
      </c>
      <c r="H71" s="322">
        <f>$H$25*'P12-MODAL DE PAGAMENTO'!$D$8*'P12-MODAL DE PAGAMENTO'!$E$8</f>
        <v>18935.665056000002</v>
      </c>
      <c r="I71" s="322">
        <f>$I$25*'P12-MODAL DE PAGAMENTO'!$D$8*'P12-MODAL DE PAGAMENTO'!$E$8</f>
        <v>19352.249687231997</v>
      </c>
      <c r="J71" s="322">
        <f>$J$25*'P12-MODAL DE PAGAMENTO'!$D$8*'P12-MODAL DE PAGAMENTO'!$E$8</f>
        <v>19777.999180351104</v>
      </c>
      <c r="K71" s="322">
        <f>$K$25*'P12-MODAL DE PAGAMENTO'!$D$8*'P12-MODAL DE PAGAMENTO'!$E$8</f>
        <v>20213.115162318831</v>
      </c>
    </row>
    <row r="72" spans="1:11" x14ac:dyDescent="0.25">
      <c r="A72" s="101"/>
      <c r="B72" s="13" t="s">
        <v>41</v>
      </c>
      <c r="C72" s="123" t="str">
        <f>'P12-MODAL DE PAGAMENTO'!C9</f>
        <v>Boleto Bancário</v>
      </c>
      <c r="D72" s="298"/>
      <c r="E72" s="298"/>
      <c r="F72" s="292"/>
      <c r="G72" s="304">
        <f>'P12-MODAL DE PAGAMENTO'!F9*12</f>
        <v>11580.03</v>
      </c>
      <c r="H72" s="322">
        <f>$H$25*'P12-MODAL DE PAGAMENTO'!$D$9*'P12-MODAL DE PAGAMENTO'!$E$9</f>
        <v>11834.790660000002</v>
      </c>
      <c r="I72" s="322">
        <f>$I$25*'P12-MODAL DE PAGAMENTO'!$D$9*'P12-MODAL DE PAGAMENTO'!$E$9</f>
        <v>12095.156054519997</v>
      </c>
      <c r="J72" s="322">
        <f>$J$25*'P12-MODAL DE PAGAMENTO'!$D$9*'P12-MODAL DE PAGAMENTO'!$E$9</f>
        <v>12361.24948771944</v>
      </c>
      <c r="K72" s="322">
        <f>$K$25*'P12-MODAL DE PAGAMENTO'!$D$9*'P12-MODAL DE PAGAMENTO'!$E$9</f>
        <v>12633.19697644927</v>
      </c>
    </row>
    <row r="73" spans="1:11" x14ac:dyDescent="0.25">
      <c r="A73" s="116"/>
      <c r="B73" s="307" t="s">
        <v>42</v>
      </c>
      <c r="C73" s="123" t="str">
        <f>'P12-MODAL DE PAGAMENTO'!C10</f>
        <v>Comissão p/ PDV</v>
      </c>
      <c r="D73" s="107"/>
      <c r="E73" s="116"/>
      <c r="F73" s="116"/>
      <c r="G73" s="305">
        <f>'P12-MODAL DE PAGAMENTO'!F10*12</f>
        <v>23160.06</v>
      </c>
      <c r="H73" s="322">
        <f>$H$25*'P12-MODAL DE PAGAMENTO'!$D$10*'P12-MODAL DE PAGAMENTO'!$E$10</f>
        <v>23669.581320000005</v>
      </c>
      <c r="I73" s="322">
        <f>$I$25*'P12-MODAL DE PAGAMENTO'!$D$10*'P12-MODAL DE PAGAMENTO'!$E$10</f>
        <v>24190.312109039995</v>
      </c>
      <c r="J73" s="322">
        <f>$J$25*'P12-MODAL DE PAGAMENTO'!$D$10*'P12-MODAL DE PAGAMENTO'!$E$10</f>
        <v>24722.498975438881</v>
      </c>
      <c r="K73" s="322">
        <f>$K$25*'P12-MODAL DE PAGAMENTO'!$D$10*'P12-MODAL DE PAGAMENTO'!$E$10</f>
        <v>25266.393952898539</v>
      </c>
    </row>
    <row r="74" spans="1:11" x14ac:dyDescent="0.25">
      <c r="A74" s="116"/>
      <c r="B74" s="116"/>
      <c r="C74" s="116"/>
      <c r="D74" s="107"/>
      <c r="E74" s="116"/>
      <c r="F74" s="116"/>
      <c r="G74" s="116"/>
      <c r="H74" s="116"/>
    </row>
    <row r="75" spans="1:11" ht="15" customHeight="1" x14ac:dyDescent="0.25">
      <c r="A75" s="311">
        <v>18</v>
      </c>
      <c r="B75" s="589" t="s">
        <v>518</v>
      </c>
      <c r="C75" s="589"/>
      <c r="D75" s="589"/>
      <c r="E75" s="589"/>
      <c r="F75" s="589"/>
      <c r="G75" s="330">
        <f>G64-G67</f>
        <v>803298.22888685705</v>
      </c>
      <c r="H75" s="313">
        <f t="shared" ref="H75:K75" si="38">H64-H67</f>
        <v>873612.17104685726</v>
      </c>
      <c r="I75" s="313">
        <f t="shared" si="38"/>
        <v>945473.019934376</v>
      </c>
      <c r="J75" s="313">
        <f t="shared" si="38"/>
        <v>1018914.8074974219</v>
      </c>
      <c r="K75" s="323">
        <f t="shared" si="38"/>
        <v>1093972.3143868553</v>
      </c>
    </row>
    <row r="76" spans="1:11" x14ac:dyDescent="0.25">
      <c r="A76" s="116"/>
      <c r="B76" s="116"/>
      <c r="C76" s="116"/>
      <c r="D76" s="107"/>
      <c r="E76" s="116"/>
      <c r="F76" s="116"/>
      <c r="G76" s="116"/>
      <c r="H76" s="116"/>
    </row>
    <row r="77" spans="1:11" ht="15" customHeight="1" x14ac:dyDescent="0.25">
      <c r="A77" s="311">
        <v>19</v>
      </c>
      <c r="B77" s="588" t="s">
        <v>519</v>
      </c>
      <c r="C77" s="588"/>
      <c r="D77" s="588"/>
      <c r="E77" s="588"/>
      <c r="F77" s="588"/>
      <c r="G77" s="312">
        <f>SUM(G78:G80)</f>
        <v>273121.3978215314</v>
      </c>
      <c r="H77" s="312">
        <f t="shared" ref="H77:K77" si="39">SUM(H78:H80)</f>
        <v>297028.13815593149</v>
      </c>
      <c r="I77" s="312">
        <f t="shared" si="39"/>
        <v>321460.82677768788</v>
      </c>
      <c r="J77" s="312">
        <f t="shared" si="39"/>
        <v>346431.03454912343</v>
      </c>
      <c r="K77" s="312">
        <f t="shared" si="39"/>
        <v>371950.58689153084</v>
      </c>
    </row>
    <row r="78" spans="1:11" ht="15" customHeight="1" x14ac:dyDescent="0.25">
      <c r="A78" s="101"/>
      <c r="B78" s="308" t="s">
        <v>28</v>
      </c>
      <c r="C78" s="309" t="s">
        <v>520</v>
      </c>
      <c r="D78" s="331">
        <v>0.09</v>
      </c>
      <c r="E78" s="101"/>
      <c r="F78" s="292"/>
      <c r="G78" s="301">
        <f>G$75*$D78</f>
        <v>72296.840599817137</v>
      </c>
      <c r="H78" s="301">
        <f>H$75*$D78</f>
        <v>78625.095394217147</v>
      </c>
      <c r="I78" s="301">
        <f t="shared" ref="I78:K80" si="40">I$75*$D78</f>
        <v>85092.571794093834</v>
      </c>
      <c r="J78" s="301">
        <f t="shared" si="40"/>
        <v>91702.332674767968</v>
      </c>
      <c r="K78" s="301">
        <f t="shared" si="40"/>
        <v>98457.508294816973</v>
      </c>
    </row>
    <row r="79" spans="1:11" ht="15" customHeight="1" x14ac:dyDescent="0.25">
      <c r="A79" s="101"/>
      <c r="B79" s="13" t="s">
        <v>33</v>
      </c>
      <c r="C79" s="123" t="s">
        <v>521</v>
      </c>
      <c r="D79" s="303">
        <v>0.15</v>
      </c>
      <c r="E79" s="101"/>
      <c r="F79" s="292"/>
      <c r="G79" s="301">
        <f t="shared" ref="G79:G80" si="41">$G$75*D79</f>
        <v>120494.73433302855</v>
      </c>
      <c r="H79" s="301">
        <f t="shared" ref="H79:H80" si="42">H$75*$D79</f>
        <v>131041.82565702859</v>
      </c>
      <c r="I79" s="301">
        <f t="shared" si="40"/>
        <v>141820.95299015639</v>
      </c>
      <c r="J79" s="301">
        <f t="shared" si="40"/>
        <v>152837.22112461328</v>
      </c>
      <c r="K79" s="301">
        <f t="shared" si="40"/>
        <v>164095.84715802831</v>
      </c>
    </row>
    <row r="80" spans="1:11" x14ac:dyDescent="0.25">
      <c r="A80" s="101"/>
      <c r="B80" s="13" t="s">
        <v>39</v>
      </c>
      <c r="C80" s="123" t="s">
        <v>522</v>
      </c>
      <c r="D80" s="303">
        <v>0.1</v>
      </c>
      <c r="E80" s="101"/>
      <c r="F80" s="292"/>
      <c r="G80" s="301">
        <f t="shared" si="41"/>
        <v>80329.82288868571</v>
      </c>
      <c r="H80" s="301">
        <f t="shared" si="42"/>
        <v>87361.217104685726</v>
      </c>
      <c r="I80" s="301">
        <f t="shared" si="40"/>
        <v>94547.301993437606</v>
      </c>
      <c r="J80" s="301">
        <f t="shared" si="40"/>
        <v>101891.48074974219</v>
      </c>
      <c r="K80" s="301">
        <f t="shared" si="40"/>
        <v>109397.23143868554</v>
      </c>
    </row>
    <row r="81" spans="1:11" x14ac:dyDescent="0.25">
      <c r="A81" s="116"/>
      <c r="B81" s="116"/>
      <c r="C81" s="116"/>
      <c r="D81" s="107"/>
      <c r="E81" s="116"/>
      <c r="F81" s="116"/>
      <c r="G81" s="116"/>
      <c r="H81" s="116"/>
    </row>
    <row r="82" spans="1:11" ht="15" customHeight="1" x14ac:dyDescent="0.25">
      <c r="A82" s="311">
        <v>20</v>
      </c>
      <c r="B82" s="588" t="s">
        <v>523</v>
      </c>
      <c r="C82" s="588"/>
      <c r="D82" s="588"/>
      <c r="E82" s="588"/>
      <c r="F82" s="588"/>
      <c r="G82" s="330">
        <f>G75-G77</f>
        <v>530176.83106532565</v>
      </c>
      <c r="H82" s="313">
        <f t="shared" ref="H82:K82" si="43">H75-H77</f>
        <v>576584.03289092577</v>
      </c>
      <c r="I82" s="313">
        <f t="shared" si="43"/>
        <v>624012.19315668812</v>
      </c>
      <c r="J82" s="313">
        <f t="shared" si="43"/>
        <v>672483.77294829837</v>
      </c>
      <c r="K82" s="313">
        <f t="shared" si="43"/>
        <v>722021.72749532457</v>
      </c>
    </row>
    <row r="83" spans="1:11" ht="14.25" customHeight="1" x14ac:dyDescent="0.25">
      <c r="A83" s="101"/>
      <c r="B83" s="308" t="s">
        <v>28</v>
      </c>
      <c r="C83" s="309" t="s">
        <v>524</v>
      </c>
      <c r="D83" s="107"/>
      <c r="E83" s="101"/>
      <c r="F83" s="292"/>
      <c r="G83" s="306">
        <f>G82/G25</f>
        <v>0.11445929567223177</v>
      </c>
      <c r="H83" s="306">
        <f t="shared" ref="H83:K83" si="44">H82/H25</f>
        <v>0.12179852805502132</v>
      </c>
      <c r="I83" s="306">
        <f t="shared" si="44"/>
        <v>0.12897977304796593</v>
      </c>
      <c r="J83" s="306">
        <f t="shared" si="44"/>
        <v>0.13600643155378275</v>
      </c>
      <c r="K83" s="306">
        <f t="shared" si="44"/>
        <v>0.14288183126593237</v>
      </c>
    </row>
    <row r="84" spans="1:11" x14ac:dyDescent="0.25">
      <c r="A84" s="116"/>
      <c r="B84" s="116"/>
      <c r="C84" s="116"/>
      <c r="D84" s="107"/>
      <c r="E84" s="116"/>
      <c r="F84" s="116"/>
      <c r="G84" s="116"/>
      <c r="H84" s="116"/>
    </row>
    <row r="85" spans="1:11" ht="15" customHeight="1" x14ac:dyDescent="0.25">
      <c r="A85" s="311">
        <v>21</v>
      </c>
      <c r="B85" s="588" t="s">
        <v>525</v>
      </c>
      <c r="C85" s="588"/>
      <c r="D85" s="588"/>
      <c r="E85" s="588"/>
      <c r="F85" s="588"/>
      <c r="G85" s="312">
        <f>SUM(G86:G89)</f>
        <v>163096.88</v>
      </c>
      <c r="H85" s="312">
        <f t="shared" ref="H85:K85" si="45">SUM(H86:H89)</f>
        <v>163096.88</v>
      </c>
      <c r="I85" s="312">
        <f t="shared" si="45"/>
        <v>163096.88</v>
      </c>
      <c r="J85" s="312">
        <f t="shared" si="45"/>
        <v>163096.88</v>
      </c>
      <c r="K85" s="312">
        <f t="shared" si="45"/>
        <v>163096.88</v>
      </c>
    </row>
    <row r="86" spans="1:11" ht="15" customHeight="1" x14ac:dyDescent="0.25">
      <c r="A86" s="101"/>
      <c r="B86" s="308" t="s">
        <v>28</v>
      </c>
      <c r="C86" s="309" t="s">
        <v>515</v>
      </c>
      <c r="D86" s="107"/>
      <c r="E86" s="101"/>
      <c r="F86" s="292"/>
      <c r="G86" s="301">
        <f>'P9-DEPRECIAÇÃO'!H23</f>
        <v>3439.68</v>
      </c>
      <c r="H86" s="301">
        <f>$G$86</f>
        <v>3439.68</v>
      </c>
      <c r="I86" s="301">
        <f t="shared" ref="I86:K86" si="46">$G$86</f>
        <v>3439.68</v>
      </c>
      <c r="J86" s="301">
        <f t="shared" si="46"/>
        <v>3439.68</v>
      </c>
      <c r="K86" s="301">
        <f t="shared" si="46"/>
        <v>3439.68</v>
      </c>
    </row>
    <row r="87" spans="1:11" ht="15" customHeight="1" x14ac:dyDescent="0.25">
      <c r="A87" s="101"/>
      <c r="B87" s="13" t="s">
        <v>33</v>
      </c>
      <c r="C87" s="123" t="s">
        <v>526</v>
      </c>
      <c r="D87" s="107"/>
      <c r="E87" s="101"/>
      <c r="F87" s="292"/>
      <c r="G87" s="301">
        <f>'P9-DEPRECIAÇÃO'!H36</f>
        <v>22720</v>
      </c>
      <c r="H87" s="301">
        <f>$G$87</f>
        <v>22720</v>
      </c>
      <c r="I87" s="301">
        <f t="shared" ref="I87:K87" si="47">$G$87</f>
        <v>22720</v>
      </c>
      <c r="J87" s="301">
        <f t="shared" si="47"/>
        <v>22720</v>
      </c>
      <c r="K87" s="301">
        <f t="shared" si="47"/>
        <v>22720</v>
      </c>
    </row>
    <row r="88" spans="1:11" x14ac:dyDescent="0.25">
      <c r="A88" s="101"/>
      <c r="B88" s="13" t="s">
        <v>39</v>
      </c>
      <c r="C88" s="125" t="s">
        <v>491</v>
      </c>
      <c r="D88" s="119"/>
      <c r="E88" s="101"/>
      <c r="F88" s="292"/>
      <c r="G88" s="301">
        <v>63172.2</v>
      </c>
      <c r="H88" s="301">
        <f>$G$88</f>
        <v>63172.2</v>
      </c>
      <c r="I88" s="301">
        <f t="shared" ref="I88:K88" si="48">$G$88</f>
        <v>63172.2</v>
      </c>
      <c r="J88" s="301">
        <f t="shared" si="48"/>
        <v>63172.2</v>
      </c>
      <c r="K88" s="301">
        <f t="shared" si="48"/>
        <v>63172.2</v>
      </c>
    </row>
    <row r="89" spans="1:11" ht="15" customHeight="1" x14ac:dyDescent="0.25">
      <c r="A89" s="101"/>
      <c r="B89" s="13" t="s">
        <v>40</v>
      </c>
      <c r="C89" s="123" t="s">
        <v>299</v>
      </c>
      <c r="D89" s="107"/>
      <c r="E89" s="101"/>
      <c r="F89" s="292"/>
      <c r="G89" s="301">
        <f>'P9-DEPRECIAÇÃO'!H44</f>
        <v>73765</v>
      </c>
      <c r="H89" s="301">
        <f>$G$89</f>
        <v>73765</v>
      </c>
      <c r="I89" s="301">
        <f t="shared" ref="I89:K89" si="49">$G$89</f>
        <v>73765</v>
      </c>
      <c r="J89" s="301">
        <f t="shared" si="49"/>
        <v>73765</v>
      </c>
      <c r="K89" s="301">
        <f t="shared" si="49"/>
        <v>73765</v>
      </c>
    </row>
    <row r="90" spans="1:11" x14ac:dyDescent="0.25">
      <c r="A90" s="220"/>
      <c r="B90" s="220"/>
      <c r="C90" s="220"/>
      <c r="D90" s="11"/>
      <c r="E90" s="220"/>
      <c r="F90" s="220"/>
      <c r="G90" s="220"/>
      <c r="H90" s="220"/>
    </row>
    <row r="91" spans="1:11" x14ac:dyDescent="0.25">
      <c r="A91" s="220"/>
      <c r="B91" s="220"/>
      <c r="C91" s="220"/>
      <c r="D91" s="11"/>
      <c r="E91" s="220"/>
      <c r="F91" s="220"/>
      <c r="G91" s="220"/>
      <c r="H91" s="220"/>
    </row>
    <row r="92" spans="1:11" x14ac:dyDescent="0.25">
      <c r="A92" s="220"/>
      <c r="B92" s="220"/>
      <c r="C92" s="220"/>
      <c r="D92" s="11"/>
      <c r="E92" s="220"/>
      <c r="F92" s="220"/>
      <c r="G92" s="220"/>
      <c r="H92" s="220"/>
    </row>
    <row r="93" spans="1:11" x14ac:dyDescent="0.25">
      <c r="A93" s="220"/>
      <c r="B93" s="220"/>
      <c r="C93" s="220"/>
      <c r="D93" s="11"/>
      <c r="E93" s="220"/>
      <c r="F93" s="220"/>
      <c r="G93" s="220"/>
      <c r="H93" s="220"/>
    </row>
    <row r="94" spans="1:11" x14ac:dyDescent="0.25">
      <c r="A94" s="220"/>
      <c r="B94" s="220"/>
      <c r="C94" s="220"/>
      <c r="D94" s="11"/>
      <c r="E94" s="220"/>
      <c r="F94" s="220"/>
      <c r="G94" s="220"/>
      <c r="H94" s="220"/>
    </row>
    <row r="95" spans="1:11" x14ac:dyDescent="0.25">
      <c r="A95" s="220"/>
      <c r="B95" s="220"/>
      <c r="C95" s="220"/>
      <c r="D95" s="11"/>
      <c r="E95" s="220"/>
      <c r="F95" s="220"/>
      <c r="G95" s="220"/>
      <c r="H95" s="220"/>
    </row>
    <row r="96" spans="1:11" x14ac:dyDescent="0.25">
      <c r="A96" s="220"/>
      <c r="B96" s="220"/>
      <c r="C96" s="220"/>
      <c r="D96" s="11"/>
      <c r="E96" s="220"/>
      <c r="F96" s="220"/>
      <c r="G96" s="220"/>
      <c r="H96" s="220"/>
    </row>
    <row r="97" spans="1:11" x14ac:dyDescent="0.25">
      <c r="A97" s="220"/>
      <c r="B97" s="220"/>
      <c r="C97" s="220"/>
      <c r="D97" s="11"/>
      <c r="E97" s="220"/>
      <c r="F97" s="220"/>
      <c r="G97" s="220"/>
      <c r="H97" s="220"/>
    </row>
    <row r="98" spans="1:11" x14ac:dyDescent="0.25">
      <c r="A98" s="220"/>
      <c r="B98" s="220"/>
      <c r="C98" s="220"/>
      <c r="D98" s="11"/>
      <c r="E98" s="220"/>
      <c r="F98" s="220"/>
      <c r="G98" s="220"/>
      <c r="H98" s="220"/>
    </row>
    <row r="99" spans="1:11" x14ac:dyDescent="0.25">
      <c r="A99" s="220"/>
      <c r="B99" s="220"/>
      <c r="C99" s="220"/>
      <c r="D99" s="11"/>
      <c r="E99" s="220"/>
      <c r="F99" s="220"/>
      <c r="G99" s="220"/>
      <c r="H99" s="220"/>
    </row>
    <row r="100" spans="1:11" x14ac:dyDescent="0.25">
      <c r="A100" s="220"/>
      <c r="B100" s="220"/>
      <c r="C100" s="220"/>
      <c r="D100" s="11"/>
      <c r="E100" s="220"/>
      <c r="F100" s="165"/>
      <c r="G100" s="165" t="s">
        <v>492</v>
      </c>
      <c r="H100" s="165" t="s">
        <v>493</v>
      </c>
      <c r="I100" s="165" t="s">
        <v>542</v>
      </c>
      <c r="J100" s="165" t="s">
        <v>543</v>
      </c>
      <c r="K100" s="165" t="s">
        <v>544</v>
      </c>
    </row>
    <row r="101" spans="1:11" ht="15" customHeight="1" x14ac:dyDescent="0.25">
      <c r="A101" s="220"/>
      <c r="B101" s="220"/>
      <c r="C101" s="220"/>
      <c r="D101" s="11"/>
      <c r="E101" s="220"/>
      <c r="F101" s="220"/>
      <c r="G101" s="15" t="s">
        <v>545</v>
      </c>
      <c r="H101" s="15" t="s">
        <v>546</v>
      </c>
      <c r="I101" s="15" t="s">
        <v>547</v>
      </c>
      <c r="J101" s="15" t="s">
        <v>548</v>
      </c>
      <c r="K101" s="15" t="s">
        <v>549</v>
      </c>
    </row>
    <row r="102" spans="1:11" ht="22.5" customHeight="1" x14ac:dyDescent="0.25">
      <c r="A102" s="594" t="s">
        <v>537</v>
      </c>
      <c r="B102" s="595"/>
      <c r="C102" s="595"/>
      <c r="D102" s="595"/>
      <c r="E102" s="595"/>
      <c r="F102" s="595"/>
      <c r="G102" s="318" t="s">
        <v>527</v>
      </c>
      <c r="H102" s="585" t="s">
        <v>528</v>
      </c>
      <c r="I102" s="585"/>
      <c r="J102" s="585"/>
      <c r="K102" s="585"/>
    </row>
    <row r="103" spans="1:11" x14ac:dyDescent="0.25">
      <c r="A103" s="220"/>
      <c r="B103" s="220"/>
      <c r="C103" s="220"/>
      <c r="D103" s="11"/>
      <c r="E103" s="220"/>
      <c r="F103" s="220"/>
      <c r="G103" s="220"/>
      <c r="H103" s="220"/>
    </row>
    <row r="104" spans="1:11" s="27" customFormat="1" ht="14.25" customHeight="1" x14ac:dyDescent="0.25">
      <c r="A104" s="311">
        <v>22</v>
      </c>
      <c r="B104" s="588" t="s">
        <v>538</v>
      </c>
      <c r="C104" s="588"/>
      <c r="D104" s="588"/>
      <c r="E104" s="588"/>
      <c r="F104" s="588"/>
      <c r="G104" s="333">
        <f>G85+G82</f>
        <v>693273.71106532565</v>
      </c>
      <c r="H104" s="333">
        <f>H85+H82</f>
        <v>739680.91289092577</v>
      </c>
      <c r="I104" s="333">
        <f>I85+I82</f>
        <v>787109.07315668813</v>
      </c>
      <c r="J104" s="333">
        <f>J85+J82</f>
        <v>835580.65294829838</v>
      </c>
      <c r="K104" s="333">
        <f>K85+K82</f>
        <v>885118.60749532457</v>
      </c>
    </row>
    <row r="105" spans="1:11" s="27" customFormat="1" ht="11.25" x14ac:dyDescent="0.25">
      <c r="A105" s="116"/>
      <c r="B105" s="116"/>
      <c r="C105" s="116"/>
      <c r="D105" s="116"/>
      <c r="E105" s="116"/>
    </row>
    <row r="106" spans="1:11" s="27" customFormat="1" ht="15" customHeight="1" x14ac:dyDescent="0.25">
      <c r="A106" s="311">
        <v>23</v>
      </c>
      <c r="B106" s="588" t="s">
        <v>539</v>
      </c>
      <c r="C106" s="588"/>
      <c r="D106" s="588"/>
      <c r="E106" s="588"/>
      <c r="F106" s="332">
        <f>SUM(F107:F113)</f>
        <v>1035928</v>
      </c>
      <c r="G106" s="334">
        <f t="shared" ref="G106:K106" si="50">SUM(G107:G113)</f>
        <v>0</v>
      </c>
      <c r="H106" s="334">
        <f t="shared" si="50"/>
        <v>0</v>
      </c>
      <c r="I106" s="334">
        <f t="shared" si="50"/>
        <v>264690</v>
      </c>
      <c r="J106" s="334">
        <f t="shared" si="50"/>
        <v>0</v>
      </c>
      <c r="K106" s="334">
        <f t="shared" si="50"/>
        <v>0</v>
      </c>
    </row>
    <row r="107" spans="1:11" s="27" customFormat="1" ht="15" customHeight="1" x14ac:dyDescent="0.25">
      <c r="A107" s="101"/>
      <c r="B107" s="177" t="s">
        <v>296</v>
      </c>
      <c r="C107" s="309" t="str">
        <f>'P3-INVESTIMENTOS INICIAIS'!B4</f>
        <v>Móveis e Eletrodomésticos</v>
      </c>
      <c r="D107" s="442"/>
      <c r="E107" s="442"/>
      <c r="F107" s="335">
        <f>'P3-INVESTIMENTOS INICIAIS'!F16</f>
        <v>15310</v>
      </c>
      <c r="G107" s="305">
        <v>0</v>
      </c>
      <c r="H107" s="305">
        <v>0</v>
      </c>
      <c r="I107" s="305">
        <v>0</v>
      </c>
      <c r="J107" s="305">
        <v>0</v>
      </c>
      <c r="K107" s="305">
        <v>0</v>
      </c>
    </row>
    <row r="108" spans="1:11" s="27" customFormat="1" ht="15" customHeight="1" x14ac:dyDescent="0.25">
      <c r="A108" s="101"/>
      <c r="B108" s="15" t="s">
        <v>137</v>
      </c>
      <c r="C108" s="123" t="str">
        <f>'P3-INVESTIMENTOS INICIAIS'!B17</f>
        <v>Equipamentos Eletrônicos</v>
      </c>
      <c r="D108" s="442"/>
      <c r="E108" s="442"/>
      <c r="F108" s="335">
        <f>'P3-INVESTIMENTOS INICIAIS'!F25</f>
        <v>113600</v>
      </c>
      <c r="G108" s="305">
        <v>0</v>
      </c>
      <c r="H108" s="305">
        <v>0</v>
      </c>
      <c r="I108" s="305">
        <v>0</v>
      </c>
      <c r="J108" s="305">
        <v>0</v>
      </c>
      <c r="K108" s="305">
        <v>0</v>
      </c>
    </row>
    <row r="109" spans="1:11" s="27" customFormat="1" ht="15" customHeight="1" x14ac:dyDescent="0.25">
      <c r="A109" s="101"/>
      <c r="B109" s="15" t="s">
        <v>113</v>
      </c>
      <c r="C109" s="125" t="str">
        <f>'P3-INVESTIMENTOS INICIAIS'!B26</f>
        <v>Sinalização</v>
      </c>
      <c r="D109" s="119"/>
      <c r="E109" s="119"/>
      <c r="F109" s="335">
        <f>'P3-INVESTIMENTOS INICIAIS'!F29</f>
        <v>188090</v>
      </c>
      <c r="G109" s="305">
        <v>0</v>
      </c>
      <c r="H109" s="305">
        <v>0</v>
      </c>
      <c r="I109" s="305">
        <f>F109</f>
        <v>188090</v>
      </c>
      <c r="J109" s="305">
        <v>0</v>
      </c>
      <c r="K109" s="305">
        <v>0</v>
      </c>
    </row>
    <row r="110" spans="1:11" s="27" customFormat="1" ht="15" customHeight="1" x14ac:dyDescent="0.25">
      <c r="A110" s="101"/>
      <c r="B110" s="15" t="s">
        <v>157</v>
      </c>
      <c r="C110" s="123" t="str">
        <f>'P3-INVESTIMENTOS INICIAIS'!B30</f>
        <v>Campanha de Divulgação de Utilização do Sistema</v>
      </c>
      <c r="D110" s="442"/>
      <c r="E110" s="442"/>
      <c r="F110" s="335">
        <f>'P3-INVESTIMENTOS INICIAIS'!F35</f>
        <v>76600</v>
      </c>
      <c r="G110" s="305">
        <v>0</v>
      </c>
      <c r="H110" s="305">
        <v>0</v>
      </c>
      <c r="I110" s="305">
        <f>F110</f>
        <v>76600</v>
      </c>
      <c r="J110" s="305">
        <v>0</v>
      </c>
      <c r="K110" s="305">
        <v>0</v>
      </c>
    </row>
    <row r="111" spans="1:11" s="27" customFormat="1" ht="15" customHeight="1" x14ac:dyDescent="0.25">
      <c r="A111" s="101"/>
      <c r="B111" s="15" t="s">
        <v>114</v>
      </c>
      <c r="C111" s="123" t="str">
        <f>'P3-INVESTIMENTOS INICIAIS'!B36</f>
        <v>Facilidades e Conveniências:</v>
      </c>
      <c r="D111" s="442"/>
      <c r="E111" s="593"/>
      <c r="F111" s="335">
        <f>'P3-INVESTIMENTOS INICIAIS'!F39</f>
        <v>85000</v>
      </c>
      <c r="G111" s="305">
        <v>0</v>
      </c>
      <c r="H111" s="305">
        <v>0</v>
      </c>
      <c r="I111" s="305">
        <v>0</v>
      </c>
      <c r="J111" s="305">
        <v>0</v>
      </c>
      <c r="K111" s="305">
        <v>0</v>
      </c>
    </row>
    <row r="112" spans="1:11" s="27" customFormat="1" ht="15" customHeight="1" x14ac:dyDescent="0.25">
      <c r="A112" s="101"/>
      <c r="B112" s="15" t="s">
        <v>115</v>
      </c>
      <c r="C112" s="123" t="str">
        <f>'P3-INVESTIMENTOS INICIAIS'!B41</f>
        <v>Veículo de Apoio Operacional</v>
      </c>
      <c r="D112" s="442"/>
      <c r="E112" s="442"/>
      <c r="F112" s="336">
        <f>'P3-INVESTIMENTOS INICIAIS'!F43</f>
        <v>57328</v>
      </c>
      <c r="G112" s="305">
        <v>0</v>
      </c>
      <c r="H112" s="305">
        <v>0</v>
      </c>
      <c r="I112" s="305">
        <v>0</v>
      </c>
      <c r="J112" s="305">
        <v>0</v>
      </c>
      <c r="K112" s="305">
        <v>0</v>
      </c>
    </row>
    <row r="113" spans="1:11" s="27" customFormat="1" ht="15" customHeight="1" x14ac:dyDescent="0.25">
      <c r="A113" s="101"/>
      <c r="B113" s="15" t="s">
        <v>116</v>
      </c>
      <c r="C113" s="123" t="str">
        <f>'P3-INVESTIMENTOS INICIAIS'!B45</f>
        <v>Outorga Inicial</v>
      </c>
      <c r="D113" s="442"/>
      <c r="E113" s="593"/>
      <c r="F113" s="335">
        <f>'P3-INVESTIMENTOS INICIAIS'!F47</f>
        <v>500000</v>
      </c>
      <c r="G113" s="305">
        <v>0</v>
      </c>
      <c r="H113" s="305">
        <v>0</v>
      </c>
      <c r="I113" s="305">
        <v>0</v>
      </c>
      <c r="J113" s="305">
        <v>0</v>
      </c>
      <c r="K113" s="305">
        <v>0</v>
      </c>
    </row>
    <row r="114" spans="1:11" s="27" customFormat="1" ht="14.25" customHeight="1" x14ac:dyDescent="0.2">
      <c r="A114" s="163"/>
      <c r="B114" s="163"/>
      <c r="C114" s="163"/>
      <c r="D114" s="163"/>
      <c r="E114" s="163"/>
    </row>
    <row r="115" spans="1:11" s="27" customFormat="1" ht="15" customHeight="1" x14ac:dyDescent="0.25">
      <c r="A115" s="311">
        <v>24</v>
      </c>
      <c r="B115" s="587" t="s">
        <v>540</v>
      </c>
      <c r="C115" s="588"/>
      <c r="D115" s="588"/>
      <c r="E115" s="588"/>
      <c r="F115" s="332">
        <f>F106</f>
        <v>1035928</v>
      </c>
      <c r="G115" s="333">
        <f>G104-G106</f>
        <v>693273.71106532565</v>
      </c>
      <c r="H115" s="333">
        <f>H104-H106</f>
        <v>739680.91289092577</v>
      </c>
      <c r="I115" s="333">
        <f t="shared" ref="I115:K115" si="51">I104-I106</f>
        <v>522419.07315668813</v>
      </c>
      <c r="J115" s="333">
        <f t="shared" si="51"/>
        <v>835580.65294829838</v>
      </c>
      <c r="K115" s="333">
        <f t="shared" si="51"/>
        <v>885118.60749532457</v>
      </c>
    </row>
    <row r="116" spans="1:11" s="27" customFormat="1" ht="11.25" x14ac:dyDescent="0.2">
      <c r="A116" s="163"/>
      <c r="B116" s="163"/>
      <c r="C116" s="163"/>
      <c r="D116" s="163"/>
      <c r="E116" s="163"/>
    </row>
    <row r="117" spans="1:11" s="27" customFormat="1" ht="15" customHeight="1" x14ac:dyDescent="0.25">
      <c r="A117" s="311">
        <v>25</v>
      </c>
      <c r="B117" s="587" t="s">
        <v>541</v>
      </c>
      <c r="C117" s="588"/>
      <c r="D117" s="588"/>
      <c r="E117" s="588"/>
      <c r="F117" s="332">
        <f>F115</f>
        <v>1035928</v>
      </c>
      <c r="G117" s="325">
        <f>G115-F115</f>
        <v>-342654.28893467435</v>
      </c>
      <c r="H117" s="326">
        <f>H115+G117</f>
        <v>397026.62395625142</v>
      </c>
      <c r="I117" s="326">
        <f>I115</f>
        <v>522419.07315668813</v>
      </c>
      <c r="J117" s="326">
        <f t="shared" ref="J117:K117" si="52">J115</f>
        <v>835580.65294829838</v>
      </c>
      <c r="K117" s="326">
        <f t="shared" si="52"/>
        <v>885118.60749532457</v>
      </c>
    </row>
    <row r="118" spans="1:11" s="27" customFormat="1" ht="11.25" x14ac:dyDescent="0.2">
      <c r="A118" s="99"/>
      <c r="B118" s="99"/>
      <c r="C118" s="99"/>
      <c r="D118" s="598"/>
      <c r="E118" s="598"/>
    </row>
    <row r="119" spans="1:11" x14ac:dyDescent="0.25">
      <c r="A119" s="311">
        <v>25</v>
      </c>
      <c r="B119" s="587" t="s">
        <v>554</v>
      </c>
      <c r="C119" s="588"/>
      <c r="D119" s="588"/>
      <c r="E119" s="588"/>
      <c r="F119" s="332"/>
      <c r="G119" s="350">
        <v>0</v>
      </c>
      <c r="H119" s="349">
        <f>2+((G117)*(-1))/H117</f>
        <v>2.8630511614566978</v>
      </c>
      <c r="I119" s="350">
        <v>0</v>
      </c>
      <c r="J119" s="350">
        <v>0</v>
      </c>
      <c r="K119" s="350">
        <v>0</v>
      </c>
    </row>
  </sheetData>
  <mergeCells count="48">
    <mergeCell ref="B19:F19"/>
    <mergeCell ref="B17:F17"/>
    <mergeCell ref="B15:F15"/>
    <mergeCell ref="B13:F13"/>
    <mergeCell ref="B119:E119"/>
    <mergeCell ref="B25:F25"/>
    <mergeCell ref="B21:C21"/>
    <mergeCell ref="E21:F21"/>
    <mergeCell ref="B27:C27"/>
    <mergeCell ref="B23:C23"/>
    <mergeCell ref="D118:E118"/>
    <mergeCell ref="D110:E110"/>
    <mergeCell ref="D113:E113"/>
    <mergeCell ref="B104:F104"/>
    <mergeCell ref="E23:F23"/>
    <mergeCell ref="B85:F85"/>
    <mergeCell ref="B82:F82"/>
    <mergeCell ref="B77:F77"/>
    <mergeCell ref="B75:F75"/>
    <mergeCell ref="B67:F67"/>
    <mergeCell ref="D111:E111"/>
    <mergeCell ref="D112:E112"/>
    <mergeCell ref="D107:E107"/>
    <mergeCell ref="D108:E108"/>
    <mergeCell ref="A102:F102"/>
    <mergeCell ref="H102:K102"/>
    <mergeCell ref="A1:K1"/>
    <mergeCell ref="B117:E117"/>
    <mergeCell ref="B115:E115"/>
    <mergeCell ref="B106:E106"/>
    <mergeCell ref="B64:F64"/>
    <mergeCell ref="B59:F59"/>
    <mergeCell ref="B56:F56"/>
    <mergeCell ref="B53:F53"/>
    <mergeCell ref="B49:F49"/>
    <mergeCell ref="B42:F42"/>
    <mergeCell ref="B38:F38"/>
    <mergeCell ref="B36:F36"/>
    <mergeCell ref="B34:F34"/>
    <mergeCell ref="E32:F32"/>
    <mergeCell ref="E27:F27"/>
    <mergeCell ref="H5:K5"/>
    <mergeCell ref="B9:C9"/>
    <mergeCell ref="E9:F9"/>
    <mergeCell ref="B11:C11"/>
    <mergeCell ref="E11:F11"/>
    <mergeCell ref="A5:F5"/>
    <mergeCell ref="B7:C7"/>
  </mergeCells>
  <phoneticPr fontId="56" type="noConversion"/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952B0-BE1B-485D-AB63-82C4FA35AF6E}">
  <dimension ref="A1:H26"/>
  <sheetViews>
    <sheetView view="pageLayout" topLeftCell="A10" zoomScaleNormal="70" workbookViewId="0">
      <selection activeCell="I12" sqref="I12"/>
    </sheetView>
  </sheetViews>
  <sheetFormatPr defaultRowHeight="15" x14ac:dyDescent="0.25"/>
  <cols>
    <col min="1" max="1" width="9.140625" style="366" customWidth="1"/>
    <col min="2" max="2" width="6.42578125" style="34" bestFit="1" customWidth="1"/>
    <col min="3" max="3" width="10.85546875" style="34" customWidth="1"/>
    <col min="4" max="4" width="18.5703125" style="11" customWidth="1"/>
    <col min="5" max="5" width="44.28515625" style="366" customWidth="1"/>
    <col min="6" max="6" width="34.140625" style="366" customWidth="1"/>
    <col min="7" max="7" width="9.7109375" style="11" bestFit="1" customWidth="1"/>
    <col min="8" max="8" width="9.140625" style="11"/>
  </cols>
  <sheetData>
    <row r="1" spans="1:8" s="1" customFormat="1" ht="22.5" customHeight="1" x14ac:dyDescent="0.25">
      <c r="A1" s="586" t="s">
        <v>618</v>
      </c>
      <c r="B1" s="586"/>
      <c r="C1" s="586"/>
      <c r="D1" s="586"/>
      <c r="E1" s="586"/>
      <c r="F1" s="586"/>
      <c r="G1" s="586"/>
      <c r="H1" s="586"/>
    </row>
    <row r="2" spans="1:8" s="1" customFormat="1" x14ac:dyDescent="0.25">
      <c r="A2" s="616"/>
      <c r="B2" s="617"/>
      <c r="C2" s="617"/>
      <c r="D2" s="617"/>
      <c r="E2" s="617"/>
      <c r="F2" s="617"/>
      <c r="G2" s="617"/>
      <c r="H2" s="618"/>
    </row>
    <row r="3" spans="1:8" s="2" customFormat="1" ht="22.5" customHeight="1" x14ac:dyDescent="0.25">
      <c r="A3" s="269" t="s">
        <v>559</v>
      </c>
      <c r="B3" s="269" t="s">
        <v>555</v>
      </c>
      <c r="C3" s="269" t="s">
        <v>560</v>
      </c>
      <c r="D3" s="269" t="s">
        <v>561</v>
      </c>
      <c r="E3" s="269" t="s">
        <v>231</v>
      </c>
      <c r="F3" s="269" t="s">
        <v>562</v>
      </c>
      <c r="G3" s="269" t="s">
        <v>563</v>
      </c>
      <c r="H3" s="351"/>
    </row>
    <row r="4" spans="1:8" s="8" customFormat="1" ht="192" customHeight="1" x14ac:dyDescent="0.25">
      <c r="A4" s="218" t="s">
        <v>564</v>
      </c>
      <c r="B4" s="353">
        <v>45505</v>
      </c>
      <c r="C4" s="214" t="s">
        <v>565</v>
      </c>
      <c r="D4" s="214" t="s">
        <v>566</v>
      </c>
      <c r="E4" s="218" t="s">
        <v>567</v>
      </c>
      <c r="F4" s="218" t="s">
        <v>568</v>
      </c>
      <c r="G4" s="352">
        <v>3.9100000000000003E-2</v>
      </c>
      <c r="H4" s="215" t="s">
        <v>569</v>
      </c>
    </row>
    <row r="5" spans="1:8" s="8" customFormat="1" ht="81.75" customHeight="1" x14ac:dyDescent="0.25">
      <c r="A5" s="218" t="s">
        <v>557</v>
      </c>
      <c r="B5" s="354">
        <v>45505</v>
      </c>
      <c r="C5" s="218" t="s">
        <v>570</v>
      </c>
      <c r="D5" s="214" t="s">
        <v>571</v>
      </c>
      <c r="E5" s="29"/>
      <c r="F5" s="218" t="s">
        <v>572</v>
      </c>
      <c r="G5" s="352">
        <v>0.105</v>
      </c>
      <c r="H5" s="215" t="s">
        <v>569</v>
      </c>
    </row>
    <row r="6" spans="1:8" s="8" customFormat="1" ht="78.75" customHeight="1" x14ac:dyDescent="0.25">
      <c r="A6" s="29" t="s">
        <v>593</v>
      </c>
      <c r="B6" s="214" t="s">
        <v>174</v>
      </c>
      <c r="C6" s="214" t="s">
        <v>573</v>
      </c>
      <c r="D6" s="214" t="s">
        <v>574</v>
      </c>
      <c r="E6" s="218" t="s">
        <v>575</v>
      </c>
      <c r="F6" s="29" t="s">
        <v>594</v>
      </c>
      <c r="G6" s="352">
        <f>G5-G4</f>
        <v>6.5899999999999986E-2</v>
      </c>
      <c r="H6" s="215" t="s">
        <v>569</v>
      </c>
    </row>
    <row r="7" spans="1:8" s="8" customFormat="1" ht="87.75" customHeight="1" x14ac:dyDescent="0.25">
      <c r="A7" s="218" t="s">
        <v>586</v>
      </c>
      <c r="B7" s="358">
        <v>45505</v>
      </c>
      <c r="C7" s="356" t="s">
        <v>577</v>
      </c>
      <c r="D7" s="214" t="s">
        <v>558</v>
      </c>
      <c r="E7" s="357" t="s">
        <v>583</v>
      </c>
      <c r="F7" s="218" t="s">
        <v>587</v>
      </c>
      <c r="G7" s="355">
        <v>1</v>
      </c>
      <c r="H7" s="356"/>
    </row>
    <row r="8" spans="1:8" s="8" customFormat="1" ht="22.5" customHeight="1" x14ac:dyDescent="0.25">
      <c r="A8" s="619" t="s">
        <v>588</v>
      </c>
      <c r="B8" s="608"/>
      <c r="C8" s="356" t="s">
        <v>580</v>
      </c>
      <c r="D8" s="485" t="s">
        <v>595</v>
      </c>
      <c r="E8" s="404" t="s">
        <v>576</v>
      </c>
      <c r="F8" s="541" t="s">
        <v>589</v>
      </c>
      <c r="G8" s="355">
        <v>0.5</v>
      </c>
      <c r="H8" s="611"/>
    </row>
    <row r="9" spans="1:8" s="8" customFormat="1" ht="18" customHeight="1" x14ac:dyDescent="0.25">
      <c r="A9" s="620"/>
      <c r="B9" s="609"/>
      <c r="C9" s="356" t="s">
        <v>581</v>
      </c>
      <c r="D9" s="614"/>
      <c r="E9" s="404"/>
      <c r="F9" s="541"/>
      <c r="G9" s="355">
        <v>0.5</v>
      </c>
      <c r="H9" s="612"/>
    </row>
    <row r="10" spans="1:8" s="8" customFormat="1" ht="63" customHeight="1" x14ac:dyDescent="0.25">
      <c r="A10" s="621"/>
      <c r="B10" s="610"/>
      <c r="C10" s="356" t="s">
        <v>582</v>
      </c>
      <c r="D10" s="615"/>
      <c r="E10" s="404"/>
      <c r="F10" s="541"/>
      <c r="G10" s="362">
        <f>G9/G8</f>
        <v>1</v>
      </c>
      <c r="H10" s="613"/>
    </row>
    <row r="11" spans="1:8" s="1" customFormat="1" ht="79.5" customHeight="1" x14ac:dyDescent="0.25">
      <c r="A11" s="29" t="s">
        <v>596</v>
      </c>
      <c r="B11" s="359">
        <v>45505</v>
      </c>
      <c r="C11" s="356" t="s">
        <v>578</v>
      </c>
      <c r="D11" s="356" t="s">
        <v>599</v>
      </c>
      <c r="E11" s="357"/>
      <c r="F11" s="29" t="s">
        <v>584</v>
      </c>
      <c r="G11" s="355">
        <v>0.34</v>
      </c>
      <c r="H11" s="356"/>
    </row>
    <row r="12" spans="1:8" s="2" customFormat="1" ht="78.75" customHeight="1" x14ac:dyDescent="0.25">
      <c r="A12" s="218" t="s">
        <v>590</v>
      </c>
      <c r="B12" s="358">
        <v>45474</v>
      </c>
      <c r="C12" s="356" t="s">
        <v>579</v>
      </c>
      <c r="D12" s="214" t="s">
        <v>591</v>
      </c>
      <c r="E12" s="218" t="s">
        <v>592</v>
      </c>
      <c r="F12" s="29" t="s">
        <v>585</v>
      </c>
      <c r="G12" s="361">
        <v>2.3800000000000002E-2</v>
      </c>
      <c r="H12" s="356"/>
    </row>
    <row r="13" spans="1:8" s="1" customFormat="1" ht="24" customHeight="1" x14ac:dyDescent="0.25">
      <c r="A13" s="380"/>
      <c r="B13" s="380"/>
      <c r="C13" s="380" t="s">
        <v>598</v>
      </c>
      <c r="D13" s="623" t="s">
        <v>597</v>
      </c>
      <c r="E13" s="623"/>
      <c r="F13" s="623"/>
      <c r="G13" s="378">
        <f>G7*(1+(1-G11)*G10)/100</f>
        <v>1.66E-2</v>
      </c>
      <c r="H13" s="380"/>
    </row>
    <row r="14" spans="1:8" s="2" customFormat="1" ht="15" customHeight="1" x14ac:dyDescent="0.25">
      <c r="A14" s="607" t="s">
        <v>602</v>
      </c>
      <c r="B14" s="607"/>
      <c r="C14" s="607"/>
      <c r="D14" s="607"/>
      <c r="E14" s="607"/>
      <c r="F14" s="607"/>
      <c r="G14" s="607"/>
      <c r="H14" s="607"/>
    </row>
    <row r="15" spans="1:8" s="1" customFormat="1" ht="24" customHeight="1" x14ac:dyDescent="0.25">
      <c r="A15" s="356"/>
      <c r="B15" s="356"/>
      <c r="C15" s="356" t="s">
        <v>600</v>
      </c>
      <c r="D15" s="622" t="s">
        <v>601</v>
      </c>
      <c r="E15" s="622"/>
      <c r="F15" s="622"/>
      <c r="G15" s="363">
        <f>G4+(G13*G6)+G12</f>
        <v>6.3993939999999999E-2</v>
      </c>
      <c r="H15" s="356"/>
    </row>
    <row r="16" spans="1:8" s="1" customFormat="1" x14ac:dyDescent="0.25">
      <c r="A16" s="607" t="s">
        <v>603</v>
      </c>
      <c r="B16" s="607"/>
      <c r="C16" s="607"/>
      <c r="D16" s="607"/>
      <c r="E16" s="607"/>
      <c r="F16" s="607"/>
      <c r="G16" s="607"/>
      <c r="H16" s="607"/>
    </row>
    <row r="17" spans="1:8" s="1" customFormat="1" x14ac:dyDescent="0.25">
      <c r="A17" s="357" t="s">
        <v>604</v>
      </c>
      <c r="B17" s="358">
        <v>45474</v>
      </c>
      <c r="C17" s="356"/>
      <c r="D17" s="356" t="s">
        <v>606</v>
      </c>
      <c r="E17" s="404" t="s">
        <v>608</v>
      </c>
      <c r="F17" s="404"/>
      <c r="G17" s="361">
        <v>2.5000000000000001E-2</v>
      </c>
      <c r="H17" s="356" t="s">
        <v>556</v>
      </c>
    </row>
    <row r="18" spans="1:8" s="367" customFormat="1" x14ac:dyDescent="0.25">
      <c r="A18" s="357" t="s">
        <v>605</v>
      </c>
      <c r="B18" s="358">
        <v>45474</v>
      </c>
      <c r="C18" s="356"/>
      <c r="D18" s="356" t="s">
        <v>607</v>
      </c>
      <c r="E18" s="404"/>
      <c r="F18" s="404"/>
      <c r="G18" s="361">
        <v>3.5000000000000003E-2</v>
      </c>
      <c r="H18" s="356" t="s">
        <v>556</v>
      </c>
    </row>
    <row r="19" spans="1:8" s="1" customFormat="1" x14ac:dyDescent="0.25">
      <c r="A19" s="606" t="s">
        <v>609</v>
      </c>
      <c r="B19" s="606"/>
      <c r="C19" s="606"/>
      <c r="D19" s="606"/>
      <c r="E19" s="606"/>
      <c r="F19" s="606"/>
      <c r="G19" s="379">
        <f>G15+((G17+G18)/2)</f>
        <v>9.3993939999999998E-2</v>
      </c>
      <c r="H19" s="381" t="s">
        <v>556</v>
      </c>
    </row>
    <row r="20" spans="1:8" s="1" customFormat="1" x14ac:dyDescent="0.25">
      <c r="A20" s="218" t="s">
        <v>610</v>
      </c>
      <c r="B20" s="356"/>
      <c r="C20" s="356"/>
      <c r="D20" s="356"/>
      <c r="E20" s="368" t="s">
        <v>613</v>
      </c>
      <c r="F20" s="356"/>
      <c r="G20" s="361">
        <v>7.2900000000000006E-2</v>
      </c>
      <c r="H20" s="356" t="s">
        <v>556</v>
      </c>
    </row>
    <row r="21" spans="1:8" s="1" customFormat="1" x14ac:dyDescent="0.25">
      <c r="A21" s="369"/>
      <c r="B21" s="356"/>
      <c r="C21" s="356"/>
      <c r="D21" s="356"/>
      <c r="E21" s="370" t="s">
        <v>611</v>
      </c>
      <c r="F21" s="357"/>
      <c r="G21" s="364">
        <v>1.4999999999999999E-2</v>
      </c>
      <c r="H21" s="356" t="s">
        <v>556</v>
      </c>
    </row>
    <row r="22" spans="1:8" s="1" customFormat="1" x14ac:dyDescent="0.25">
      <c r="A22" s="371" t="s">
        <v>610</v>
      </c>
      <c r="B22" s="372">
        <v>45474</v>
      </c>
      <c r="C22" s="365"/>
      <c r="D22" s="365"/>
      <c r="E22" s="368" t="s">
        <v>612</v>
      </c>
      <c r="F22" s="357"/>
      <c r="G22" s="361">
        <v>8.1000000000000003E-2</v>
      </c>
      <c r="H22" s="356" t="s">
        <v>556</v>
      </c>
    </row>
    <row r="23" spans="1:8" s="1" customFormat="1" x14ac:dyDescent="0.25">
      <c r="A23" s="29"/>
      <c r="B23" s="356"/>
      <c r="C23" s="356"/>
      <c r="D23" s="356"/>
      <c r="E23" s="368" t="s">
        <v>614</v>
      </c>
      <c r="F23" s="373"/>
      <c r="G23" s="360">
        <v>0.01</v>
      </c>
      <c r="H23" s="356" t="s">
        <v>556</v>
      </c>
    </row>
    <row r="24" spans="1:8" s="374" customFormat="1" ht="18.75" x14ac:dyDescent="0.25">
      <c r="A24" s="602" t="s">
        <v>615</v>
      </c>
      <c r="B24" s="603"/>
      <c r="C24" s="603"/>
      <c r="D24" s="603"/>
      <c r="E24" s="603"/>
      <c r="F24" s="604"/>
      <c r="G24" s="378">
        <f>SUM(G20:G23)</f>
        <v>0.1789</v>
      </c>
      <c r="H24" s="380" t="s">
        <v>556</v>
      </c>
    </row>
    <row r="25" spans="1:8" s="1" customFormat="1" x14ac:dyDescent="0.25">
      <c r="A25" s="605" t="s">
        <v>616</v>
      </c>
      <c r="B25" s="605"/>
      <c r="C25" s="605"/>
      <c r="D25" s="605"/>
      <c r="E25" s="605"/>
      <c r="F25" s="605"/>
      <c r="G25" s="377">
        <f>(G15*G8)+(G24*(1-G11)*(G9/(G9+G8)))</f>
        <v>9.1033969999999992E-2</v>
      </c>
      <c r="H25" s="376" t="s">
        <v>556</v>
      </c>
    </row>
    <row r="26" spans="1:8" x14ac:dyDescent="0.25">
      <c r="A26" s="599" t="s">
        <v>617</v>
      </c>
      <c r="B26" s="600"/>
      <c r="C26" s="600"/>
      <c r="D26" s="600"/>
      <c r="E26" s="600"/>
      <c r="F26" s="601"/>
      <c r="G26" s="375">
        <f>((1+G25)/(1+G18))-1</f>
        <v>5.4139101449275362E-2</v>
      </c>
      <c r="H26" s="382" t="s">
        <v>556</v>
      </c>
    </row>
  </sheetData>
  <mergeCells count="17">
    <mergeCell ref="A1:H1"/>
    <mergeCell ref="A2:H2"/>
    <mergeCell ref="A8:A10"/>
    <mergeCell ref="A14:H14"/>
    <mergeCell ref="D15:F15"/>
    <mergeCell ref="D13:F13"/>
    <mergeCell ref="B8:B10"/>
    <mergeCell ref="H8:H10"/>
    <mergeCell ref="E8:E10"/>
    <mergeCell ref="F8:F10"/>
    <mergeCell ref="D8:D10"/>
    <mergeCell ref="A26:F26"/>
    <mergeCell ref="A24:F24"/>
    <mergeCell ref="A25:F25"/>
    <mergeCell ref="A19:F19"/>
    <mergeCell ref="A16:H16"/>
    <mergeCell ref="E17:F1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41AD-DACD-40BD-9CE9-3125BED12460}">
  <dimension ref="A1:H82"/>
  <sheetViews>
    <sheetView view="pageLayout" topLeftCell="A4" zoomScale="115" zoomScaleNormal="100" zoomScalePageLayoutView="115" workbookViewId="0">
      <selection activeCell="B7" sqref="B7:H7"/>
    </sheetView>
  </sheetViews>
  <sheetFormatPr defaultRowHeight="15" x14ac:dyDescent="0.25"/>
  <cols>
    <col min="1" max="1" width="2.7109375" customWidth="1"/>
    <col min="2" max="2" width="2.85546875" bestFit="1" customWidth="1"/>
    <col min="3" max="3" width="29.7109375" style="10" customWidth="1"/>
    <col min="4" max="4" width="7.42578125" customWidth="1"/>
    <col min="5" max="5" width="10.42578125" customWidth="1"/>
    <col min="6" max="6" width="9.85546875" customWidth="1"/>
    <col min="7" max="7" width="9.140625" style="9" bestFit="1" customWidth="1"/>
    <col min="8" max="8" width="26.42578125" customWidth="1"/>
  </cols>
  <sheetData>
    <row r="1" spans="1:8" s="12" customFormat="1" ht="22.5" customHeight="1" x14ac:dyDescent="0.25">
      <c r="A1" s="386" t="s">
        <v>36</v>
      </c>
      <c r="B1" s="387"/>
      <c r="C1" s="387"/>
      <c r="D1" s="387"/>
      <c r="E1" s="387"/>
      <c r="F1" s="387"/>
      <c r="G1" s="387"/>
      <c r="H1" s="388"/>
    </row>
    <row r="2" spans="1:8" s="12" customFormat="1" ht="15" customHeight="1" x14ac:dyDescent="0.25">
      <c r="A2" s="17" t="s">
        <v>27</v>
      </c>
      <c r="B2" s="392" t="s">
        <v>48</v>
      </c>
      <c r="C2" s="392"/>
      <c r="D2" s="392"/>
      <c r="E2" s="392"/>
      <c r="F2" s="392"/>
      <c r="G2" s="392"/>
      <c r="H2" s="392"/>
    </row>
    <row r="3" spans="1:8" s="12" customFormat="1" ht="22.5" customHeight="1" x14ac:dyDescent="0.25">
      <c r="A3" s="389" t="s">
        <v>22</v>
      </c>
      <c r="B3" s="390"/>
      <c r="C3" s="391"/>
      <c r="D3" s="21" t="s">
        <v>23</v>
      </c>
      <c r="E3" s="22" t="s">
        <v>24</v>
      </c>
      <c r="F3" s="21" t="s">
        <v>23</v>
      </c>
      <c r="G3" s="23" t="s">
        <v>21</v>
      </c>
      <c r="H3" s="21" t="s">
        <v>25</v>
      </c>
    </row>
    <row r="4" spans="1:8" s="12" customFormat="1" ht="15" customHeight="1" x14ac:dyDescent="0.25">
      <c r="A4" s="20">
        <v>1</v>
      </c>
      <c r="B4" s="384" t="s">
        <v>49</v>
      </c>
      <c r="C4" s="384"/>
      <c r="D4" s="384"/>
      <c r="E4" s="384"/>
      <c r="F4" s="384"/>
      <c r="G4" s="384"/>
      <c r="H4" s="384"/>
    </row>
    <row r="5" spans="1:8" s="11" customFormat="1" ht="15" customHeight="1" x14ac:dyDescent="0.25">
      <c r="A5" s="385" t="s">
        <v>28</v>
      </c>
      <c r="B5" s="385"/>
      <c r="C5" s="14" t="s">
        <v>29</v>
      </c>
      <c r="D5" s="15" t="s">
        <v>30</v>
      </c>
      <c r="E5" s="16">
        <v>2</v>
      </c>
      <c r="F5" s="15" t="s">
        <v>75</v>
      </c>
      <c r="G5" s="28">
        <v>2258.89</v>
      </c>
      <c r="H5" s="15" t="s">
        <v>32</v>
      </c>
    </row>
    <row r="6" spans="1:8" s="11" customFormat="1" ht="15" customHeight="1" x14ac:dyDescent="0.25">
      <c r="A6" s="385" t="s">
        <v>33</v>
      </c>
      <c r="B6" s="385"/>
      <c r="C6" s="14" t="s">
        <v>34</v>
      </c>
      <c r="D6" s="15" t="s">
        <v>30</v>
      </c>
      <c r="E6" s="16">
        <v>25</v>
      </c>
      <c r="F6" s="15" t="s">
        <v>75</v>
      </c>
      <c r="G6" s="28">
        <v>1485</v>
      </c>
      <c r="H6" s="15" t="s">
        <v>32</v>
      </c>
    </row>
    <row r="7" spans="1:8" s="12" customFormat="1" ht="15" customHeight="1" x14ac:dyDescent="0.25">
      <c r="A7" s="20">
        <v>2</v>
      </c>
      <c r="B7" s="384" t="s">
        <v>50</v>
      </c>
      <c r="C7" s="384"/>
      <c r="D7" s="384"/>
      <c r="E7" s="384"/>
      <c r="F7" s="384"/>
      <c r="G7" s="384"/>
      <c r="H7" s="384"/>
    </row>
    <row r="8" spans="1:8" s="11" customFormat="1" ht="15" customHeight="1" x14ac:dyDescent="0.25">
      <c r="A8" s="385" t="s">
        <v>28</v>
      </c>
      <c r="B8" s="385"/>
      <c r="C8" s="14" t="s">
        <v>37</v>
      </c>
      <c r="D8" s="15" t="s">
        <v>30</v>
      </c>
      <c r="E8" s="16">
        <v>1</v>
      </c>
      <c r="F8" s="15" t="s">
        <v>75</v>
      </c>
      <c r="G8" s="28">
        <v>8162.67</v>
      </c>
      <c r="H8" s="15" t="s">
        <v>38</v>
      </c>
    </row>
    <row r="9" spans="1:8" s="11" customFormat="1" ht="15" customHeight="1" x14ac:dyDescent="0.25">
      <c r="A9" s="385" t="s">
        <v>33</v>
      </c>
      <c r="B9" s="385"/>
      <c r="C9" s="14" t="s">
        <v>79</v>
      </c>
      <c r="D9" s="15" t="s">
        <v>30</v>
      </c>
      <c r="E9" s="16">
        <v>1</v>
      </c>
      <c r="F9" s="15" t="s">
        <v>75</v>
      </c>
      <c r="G9" s="28">
        <v>4475.5600000000004</v>
      </c>
      <c r="H9" s="15" t="s">
        <v>38</v>
      </c>
    </row>
    <row r="10" spans="1:8" s="11" customFormat="1" ht="15" customHeight="1" x14ac:dyDescent="0.25">
      <c r="A10" s="385" t="s">
        <v>40</v>
      </c>
      <c r="B10" s="385"/>
      <c r="C10" s="14" t="s">
        <v>78</v>
      </c>
      <c r="D10" s="15" t="s">
        <v>30</v>
      </c>
      <c r="E10" s="16">
        <v>1</v>
      </c>
      <c r="F10" s="15" t="s">
        <v>75</v>
      </c>
      <c r="G10" s="28">
        <v>2277</v>
      </c>
      <c r="H10" s="15" t="s">
        <v>38</v>
      </c>
    </row>
    <row r="11" spans="1:8" s="11" customFormat="1" ht="15" customHeight="1" x14ac:dyDescent="0.25">
      <c r="A11" s="385" t="s">
        <v>41</v>
      </c>
      <c r="B11" s="385"/>
      <c r="C11" s="14" t="s">
        <v>77</v>
      </c>
      <c r="D11" s="15" t="s">
        <v>30</v>
      </c>
      <c r="E11" s="16">
        <v>1</v>
      </c>
      <c r="F11" s="15" t="s">
        <v>75</v>
      </c>
      <c r="G11" s="28">
        <v>2424</v>
      </c>
      <c r="H11" s="15" t="s">
        <v>38</v>
      </c>
    </row>
    <row r="12" spans="1:8" s="12" customFormat="1" ht="15" customHeight="1" x14ac:dyDescent="0.25">
      <c r="A12" s="20">
        <v>3</v>
      </c>
      <c r="B12" s="384" t="s">
        <v>51</v>
      </c>
      <c r="C12" s="384"/>
      <c r="D12" s="384"/>
      <c r="E12" s="384"/>
      <c r="F12" s="384"/>
      <c r="G12" s="384"/>
      <c r="H12" s="384"/>
    </row>
    <row r="13" spans="1:8" s="11" customFormat="1" ht="15" customHeight="1" x14ac:dyDescent="0.25">
      <c r="A13" s="385" t="s">
        <v>28</v>
      </c>
      <c r="B13" s="385"/>
      <c r="C13" s="14" t="s">
        <v>44</v>
      </c>
      <c r="D13" s="15" t="s">
        <v>30</v>
      </c>
      <c r="E13" s="16">
        <v>1</v>
      </c>
      <c r="F13" s="15" t="s">
        <v>75</v>
      </c>
      <c r="G13" s="28">
        <v>2700</v>
      </c>
      <c r="H13" s="15" t="s">
        <v>38</v>
      </c>
    </row>
    <row r="14" spans="1:8" s="11" customFormat="1" ht="15" customHeight="1" x14ac:dyDescent="0.25">
      <c r="A14" s="385" t="s">
        <v>33</v>
      </c>
      <c r="B14" s="385"/>
      <c r="C14" s="14" t="s">
        <v>45</v>
      </c>
      <c r="D14" s="15" t="s">
        <v>30</v>
      </c>
      <c r="E14" s="16">
        <v>1</v>
      </c>
      <c r="F14" s="15" t="s">
        <v>75</v>
      </c>
      <c r="G14" s="28">
        <v>2700</v>
      </c>
      <c r="H14" s="15" t="s">
        <v>38</v>
      </c>
    </row>
    <row r="15" spans="1:8" s="11" customFormat="1" ht="15" customHeight="1" x14ac:dyDescent="0.25">
      <c r="A15" s="385" t="s">
        <v>39</v>
      </c>
      <c r="B15" s="385"/>
      <c r="C15" s="14" t="s">
        <v>46</v>
      </c>
      <c r="D15" s="15" t="s">
        <v>30</v>
      </c>
      <c r="E15" s="16">
        <v>1</v>
      </c>
      <c r="F15" s="15" t="s">
        <v>75</v>
      </c>
      <c r="G15" s="28">
        <v>1500</v>
      </c>
      <c r="H15" s="15" t="s">
        <v>38</v>
      </c>
    </row>
    <row r="16" spans="1:8" s="11" customFormat="1" ht="11.25" customHeight="1" x14ac:dyDescent="0.25">
      <c r="A16" s="394"/>
      <c r="B16" s="395"/>
      <c r="C16" s="395"/>
      <c r="D16" s="395"/>
      <c r="E16" s="395"/>
      <c r="F16" s="395"/>
      <c r="G16" s="395"/>
      <c r="H16" s="396"/>
    </row>
    <row r="17" spans="1:8" s="11" customFormat="1" ht="15" customHeight="1" x14ac:dyDescent="0.25">
      <c r="A17" s="24" t="s">
        <v>52</v>
      </c>
      <c r="B17" s="393" t="s">
        <v>74</v>
      </c>
      <c r="C17" s="393"/>
      <c r="D17" s="393"/>
      <c r="E17" s="393"/>
      <c r="F17" s="393"/>
      <c r="G17" s="393"/>
      <c r="H17" s="393"/>
    </row>
    <row r="18" spans="1:8" s="12" customFormat="1" ht="22.5" customHeight="1" x14ac:dyDescent="0.25">
      <c r="A18" s="389" t="s">
        <v>22</v>
      </c>
      <c r="B18" s="390"/>
      <c r="C18" s="391"/>
      <c r="D18" s="21" t="s">
        <v>23</v>
      </c>
      <c r="E18" s="22" t="s">
        <v>24</v>
      </c>
      <c r="F18" s="21" t="s">
        <v>23</v>
      </c>
      <c r="G18" s="23" t="s">
        <v>21</v>
      </c>
      <c r="H18" s="21" t="s">
        <v>25</v>
      </c>
    </row>
    <row r="19" spans="1:8" s="12" customFormat="1" ht="15" customHeight="1" x14ac:dyDescent="0.25">
      <c r="A19" s="20">
        <v>1</v>
      </c>
      <c r="B19" s="384" t="s">
        <v>53</v>
      </c>
      <c r="C19" s="384"/>
      <c r="D19" s="384"/>
      <c r="E19" s="384"/>
      <c r="F19" s="384"/>
      <c r="G19" s="384"/>
      <c r="H19" s="384"/>
    </row>
    <row r="20" spans="1:8" s="11" customFormat="1" ht="15" customHeight="1" x14ac:dyDescent="0.25">
      <c r="A20" s="385" t="s">
        <v>28</v>
      </c>
      <c r="B20" s="385"/>
      <c r="C20" s="14" t="s">
        <v>26</v>
      </c>
      <c r="D20" s="15" t="s">
        <v>30</v>
      </c>
      <c r="E20" s="16">
        <f>SUM($E$5:$E$6)</f>
        <v>27</v>
      </c>
      <c r="F20" s="15" t="s">
        <v>75</v>
      </c>
      <c r="G20" s="28">
        <v>480</v>
      </c>
      <c r="H20" s="15" t="s">
        <v>38</v>
      </c>
    </row>
    <row r="21" spans="1:8" s="11" customFormat="1" ht="15" customHeight="1" x14ac:dyDescent="0.25">
      <c r="A21" s="385" t="s">
        <v>33</v>
      </c>
      <c r="B21" s="385"/>
      <c r="C21" s="14" t="s">
        <v>35</v>
      </c>
      <c r="D21" s="15" t="s">
        <v>30</v>
      </c>
      <c r="E21" s="16">
        <f>SUM($E$8:$E$11)</f>
        <v>4</v>
      </c>
      <c r="F21" s="15" t="s">
        <v>75</v>
      </c>
      <c r="G21" s="28">
        <v>480</v>
      </c>
      <c r="H21" s="15" t="s">
        <v>38</v>
      </c>
    </row>
    <row r="22" spans="1:8" s="11" customFormat="1" ht="15" customHeight="1" x14ac:dyDescent="0.25">
      <c r="A22" s="385" t="s">
        <v>39</v>
      </c>
      <c r="B22" s="385"/>
      <c r="C22" s="14" t="s">
        <v>47</v>
      </c>
      <c r="D22" s="15" t="s">
        <v>30</v>
      </c>
      <c r="E22" s="16">
        <f>SUM($E$13:$E$15)</f>
        <v>3</v>
      </c>
      <c r="F22" s="15" t="s">
        <v>75</v>
      </c>
      <c r="G22" s="28">
        <v>480</v>
      </c>
      <c r="H22" s="15" t="s">
        <v>38</v>
      </c>
    </row>
    <row r="23" spans="1:8" s="12" customFormat="1" ht="15" customHeight="1" x14ac:dyDescent="0.25">
      <c r="A23" s="20">
        <v>2</v>
      </c>
      <c r="B23" s="384" t="s">
        <v>54</v>
      </c>
      <c r="C23" s="384"/>
      <c r="D23" s="384"/>
      <c r="E23" s="384"/>
      <c r="F23" s="384"/>
      <c r="G23" s="384"/>
      <c r="H23" s="384"/>
    </row>
    <row r="24" spans="1:8" s="11" customFormat="1" ht="15" customHeight="1" x14ac:dyDescent="0.25">
      <c r="A24" s="385" t="s">
        <v>28</v>
      </c>
      <c r="B24" s="385"/>
      <c r="C24" s="14" t="s">
        <v>26</v>
      </c>
      <c r="D24" s="15" t="s">
        <v>30</v>
      </c>
      <c r="E24" s="16">
        <f>SUM($E$5:$E$6)</f>
        <v>27</v>
      </c>
      <c r="F24" s="15" t="s">
        <v>31</v>
      </c>
      <c r="G24" s="28">
        <v>192</v>
      </c>
      <c r="H24" s="15" t="s">
        <v>55</v>
      </c>
    </row>
    <row r="25" spans="1:8" s="11" customFormat="1" ht="15" customHeight="1" x14ac:dyDescent="0.25">
      <c r="A25" s="385" t="s">
        <v>33</v>
      </c>
      <c r="B25" s="385"/>
      <c r="C25" s="14" t="s">
        <v>35</v>
      </c>
      <c r="D25" s="15" t="s">
        <v>30</v>
      </c>
      <c r="E25" s="16">
        <f>SUM($E$8:$E$11)</f>
        <v>4</v>
      </c>
      <c r="F25" s="15" t="s">
        <v>31</v>
      </c>
      <c r="G25" s="28">
        <v>192</v>
      </c>
      <c r="H25" s="15" t="s">
        <v>55</v>
      </c>
    </row>
    <row r="26" spans="1:8" s="11" customFormat="1" ht="15" customHeight="1" x14ac:dyDescent="0.25">
      <c r="A26" s="385" t="s">
        <v>39</v>
      </c>
      <c r="B26" s="385"/>
      <c r="C26" s="14" t="s">
        <v>47</v>
      </c>
      <c r="D26" s="15" t="s">
        <v>30</v>
      </c>
      <c r="E26" s="16">
        <f>SUM($E$13:$E$15)</f>
        <v>3</v>
      </c>
      <c r="F26" s="15" t="s">
        <v>31</v>
      </c>
      <c r="G26" s="28">
        <v>192</v>
      </c>
      <c r="H26" s="15" t="s">
        <v>55</v>
      </c>
    </row>
    <row r="27" spans="1:8" s="12" customFormat="1" ht="15" customHeight="1" x14ac:dyDescent="0.25">
      <c r="A27" s="20">
        <v>3</v>
      </c>
      <c r="B27" s="384" t="s">
        <v>56</v>
      </c>
      <c r="C27" s="384"/>
      <c r="D27" s="384"/>
      <c r="E27" s="384"/>
      <c r="F27" s="384"/>
      <c r="G27" s="384"/>
      <c r="H27" s="384"/>
    </row>
    <row r="28" spans="1:8" s="11" customFormat="1" ht="15" customHeight="1" x14ac:dyDescent="0.25">
      <c r="A28" s="385" t="s">
        <v>28</v>
      </c>
      <c r="B28" s="385"/>
      <c r="C28" s="14" t="s">
        <v>26</v>
      </c>
      <c r="D28" s="15" t="s">
        <v>30</v>
      </c>
      <c r="E28" s="16">
        <f>SUM($E$5:$E$6)</f>
        <v>27</v>
      </c>
      <c r="F28" s="15" t="s">
        <v>31</v>
      </c>
      <c r="G28" s="28">
        <v>150</v>
      </c>
      <c r="H28" s="15" t="s">
        <v>38</v>
      </c>
    </row>
    <row r="29" spans="1:8" s="11" customFormat="1" ht="15" customHeight="1" x14ac:dyDescent="0.25">
      <c r="A29" s="385" t="s">
        <v>33</v>
      </c>
      <c r="B29" s="385"/>
      <c r="C29" s="14" t="s">
        <v>35</v>
      </c>
      <c r="D29" s="15" t="s">
        <v>30</v>
      </c>
      <c r="E29" s="16">
        <f>SUM($E$8:$E$11)</f>
        <v>4</v>
      </c>
      <c r="F29" s="15" t="s">
        <v>31</v>
      </c>
      <c r="G29" s="28">
        <v>150</v>
      </c>
      <c r="H29" s="15" t="s">
        <v>38</v>
      </c>
    </row>
    <row r="30" spans="1:8" s="11" customFormat="1" ht="15" customHeight="1" x14ac:dyDescent="0.25">
      <c r="A30" s="385" t="s">
        <v>39</v>
      </c>
      <c r="B30" s="385"/>
      <c r="C30" s="14" t="s">
        <v>47</v>
      </c>
      <c r="D30" s="15" t="s">
        <v>30</v>
      </c>
      <c r="E30" s="16">
        <f>SUM($E$13:$E$15)</f>
        <v>3</v>
      </c>
      <c r="F30" s="15" t="s">
        <v>31</v>
      </c>
      <c r="G30" s="28">
        <v>150</v>
      </c>
      <c r="H30" s="15" t="s">
        <v>38</v>
      </c>
    </row>
    <row r="31" spans="1:8" s="12" customFormat="1" ht="15" customHeight="1" x14ac:dyDescent="0.25">
      <c r="A31" s="20">
        <v>4</v>
      </c>
      <c r="B31" s="384" t="s">
        <v>57</v>
      </c>
      <c r="C31" s="384"/>
      <c r="D31" s="384"/>
      <c r="E31" s="384"/>
      <c r="F31" s="384"/>
      <c r="G31" s="384"/>
      <c r="H31" s="384"/>
    </row>
    <row r="32" spans="1:8" s="11" customFormat="1" ht="15" customHeight="1" x14ac:dyDescent="0.25">
      <c r="A32" s="385" t="s">
        <v>28</v>
      </c>
      <c r="B32" s="385"/>
      <c r="C32" s="14" t="s">
        <v>26</v>
      </c>
      <c r="D32" s="15" t="s">
        <v>30</v>
      </c>
      <c r="E32" s="16">
        <f>SUM($E$5:$E$6)</f>
        <v>27</v>
      </c>
      <c r="F32" s="15" t="s">
        <v>31</v>
      </c>
      <c r="G32" s="28">
        <v>45</v>
      </c>
      <c r="H32" s="15" t="s">
        <v>38</v>
      </c>
    </row>
    <row r="33" spans="1:8" s="11" customFormat="1" ht="15" customHeight="1" x14ac:dyDescent="0.25">
      <c r="A33" s="385" t="s">
        <v>33</v>
      </c>
      <c r="B33" s="385"/>
      <c r="C33" s="14" t="s">
        <v>35</v>
      </c>
      <c r="D33" s="15" t="s">
        <v>30</v>
      </c>
      <c r="E33" s="16">
        <f>SUM($E$8:$E$11)</f>
        <v>4</v>
      </c>
      <c r="F33" s="15" t="s">
        <v>31</v>
      </c>
      <c r="G33" s="28">
        <v>45</v>
      </c>
      <c r="H33" s="15" t="s">
        <v>38</v>
      </c>
    </row>
    <row r="34" spans="1:8" s="11" customFormat="1" ht="15" customHeight="1" x14ac:dyDescent="0.25">
      <c r="A34" s="385" t="s">
        <v>39</v>
      </c>
      <c r="B34" s="385"/>
      <c r="C34" s="14" t="s">
        <v>47</v>
      </c>
      <c r="D34" s="15" t="s">
        <v>30</v>
      </c>
      <c r="E34" s="16">
        <f>SUM($E$13:$E$15)</f>
        <v>3</v>
      </c>
      <c r="F34" s="15" t="s">
        <v>31</v>
      </c>
      <c r="G34" s="28">
        <v>45</v>
      </c>
      <c r="H34" s="15" t="s">
        <v>38</v>
      </c>
    </row>
    <row r="35" spans="1:8" s="11" customFormat="1" ht="11.25" customHeight="1" x14ac:dyDescent="0.25">
      <c r="A35" s="397"/>
      <c r="B35" s="397"/>
      <c r="C35" s="397"/>
      <c r="D35" s="397"/>
      <c r="E35" s="397"/>
      <c r="F35" s="397"/>
      <c r="G35" s="397"/>
      <c r="H35" s="397"/>
    </row>
    <row r="36" spans="1:8" s="12" customFormat="1" ht="15" customHeight="1" x14ac:dyDescent="0.25">
      <c r="A36" s="24" t="s">
        <v>58</v>
      </c>
      <c r="B36" s="393" t="s">
        <v>59</v>
      </c>
      <c r="C36" s="393"/>
      <c r="D36" s="393"/>
      <c r="E36" s="393"/>
      <c r="F36" s="393"/>
      <c r="G36" s="393"/>
      <c r="H36" s="393"/>
    </row>
    <row r="37" spans="1:8" s="11" customFormat="1" ht="26.25" x14ac:dyDescent="0.25">
      <c r="A37" s="389" t="s">
        <v>22</v>
      </c>
      <c r="B37" s="390"/>
      <c r="C37" s="391"/>
      <c r="D37" s="21" t="s">
        <v>23</v>
      </c>
      <c r="E37" s="25" t="s">
        <v>76</v>
      </c>
      <c r="F37" s="21" t="s">
        <v>60</v>
      </c>
      <c r="G37" s="23" t="s">
        <v>21</v>
      </c>
      <c r="H37" s="21" t="s">
        <v>25</v>
      </c>
    </row>
    <row r="38" spans="1:8" s="12" customFormat="1" ht="14.25" customHeight="1" x14ac:dyDescent="0.25">
      <c r="A38" s="20">
        <v>1</v>
      </c>
      <c r="B38" s="384" t="s">
        <v>61</v>
      </c>
      <c r="C38" s="384"/>
      <c r="D38" s="384"/>
      <c r="E38" s="384"/>
      <c r="F38" s="384"/>
      <c r="G38" s="384"/>
      <c r="H38" s="384"/>
    </row>
    <row r="39" spans="1:8" s="11" customFormat="1" ht="15" customHeight="1" x14ac:dyDescent="0.25">
      <c r="A39" s="385" t="s">
        <v>28</v>
      </c>
      <c r="B39" s="385"/>
      <c r="C39" s="14" t="s">
        <v>62</v>
      </c>
      <c r="D39" s="15" t="s">
        <v>63</v>
      </c>
      <c r="E39" s="19">
        <f>$E$32+$E$33+$E$34</f>
        <v>34</v>
      </c>
      <c r="F39" s="16">
        <v>4</v>
      </c>
      <c r="G39" s="28">
        <v>80</v>
      </c>
      <c r="H39" s="15" t="s">
        <v>38</v>
      </c>
    </row>
    <row r="40" spans="1:8" s="11" customFormat="1" ht="15" customHeight="1" x14ac:dyDescent="0.25">
      <c r="A40" s="385" t="s">
        <v>33</v>
      </c>
      <c r="B40" s="385"/>
      <c r="C40" s="14" t="s">
        <v>64</v>
      </c>
      <c r="D40" s="15" t="s">
        <v>63</v>
      </c>
      <c r="E40" s="19">
        <f>$E$32+$E$33+$E$34</f>
        <v>34</v>
      </c>
      <c r="F40" s="16">
        <v>4</v>
      </c>
      <c r="G40" s="28">
        <v>50</v>
      </c>
      <c r="H40" s="15" t="s">
        <v>38</v>
      </c>
    </row>
    <row r="41" spans="1:8" s="11" customFormat="1" ht="15" customHeight="1" x14ac:dyDescent="0.25">
      <c r="A41" s="385" t="s">
        <v>39</v>
      </c>
      <c r="B41" s="385"/>
      <c r="C41" s="14" t="s">
        <v>65</v>
      </c>
      <c r="D41" s="15" t="s">
        <v>63</v>
      </c>
      <c r="E41" s="19">
        <f>$E$32+$E$33+$E$34</f>
        <v>34</v>
      </c>
      <c r="F41" s="16">
        <v>2</v>
      </c>
      <c r="G41" s="28">
        <v>100</v>
      </c>
      <c r="H41" s="15" t="s">
        <v>38</v>
      </c>
    </row>
    <row r="42" spans="1:8" s="11" customFormat="1" ht="14.25" customHeight="1" x14ac:dyDescent="0.25">
      <c r="A42" s="385" t="s">
        <v>40</v>
      </c>
      <c r="B42" s="385"/>
      <c r="C42" s="14" t="s">
        <v>66</v>
      </c>
      <c r="D42" s="15" t="s">
        <v>63</v>
      </c>
      <c r="E42" s="19">
        <f>SUM($E$5:$E$6)</f>
        <v>27</v>
      </c>
      <c r="F42" s="16">
        <v>2</v>
      </c>
      <c r="G42" s="28">
        <v>30</v>
      </c>
      <c r="H42" s="15" t="s">
        <v>38</v>
      </c>
    </row>
    <row r="43" spans="1:8" s="11" customFormat="1" ht="14.25" customHeight="1" x14ac:dyDescent="0.25">
      <c r="A43" s="385" t="s">
        <v>41</v>
      </c>
      <c r="B43" s="385"/>
      <c r="C43" s="14" t="s">
        <v>67</v>
      </c>
      <c r="D43" s="15" t="s">
        <v>63</v>
      </c>
      <c r="E43" s="19">
        <f>SUM($E$5:$E$6)</f>
        <v>27</v>
      </c>
      <c r="F43" s="16">
        <v>2</v>
      </c>
      <c r="G43" s="28">
        <v>100</v>
      </c>
      <c r="H43" s="15" t="s">
        <v>38</v>
      </c>
    </row>
    <row r="44" spans="1:8" s="11" customFormat="1" ht="15" customHeight="1" x14ac:dyDescent="0.25">
      <c r="A44" s="385" t="s">
        <v>42</v>
      </c>
      <c r="B44" s="385"/>
      <c r="C44" s="14" t="s">
        <v>68</v>
      </c>
      <c r="D44" s="15" t="s">
        <v>63</v>
      </c>
      <c r="E44" s="19">
        <f>SUM($E$5:$E$6)</f>
        <v>27</v>
      </c>
      <c r="F44" s="16">
        <v>4</v>
      </c>
      <c r="G44" s="28">
        <v>65</v>
      </c>
      <c r="H44" s="15" t="s">
        <v>38</v>
      </c>
    </row>
    <row r="45" spans="1:8" s="11" customFormat="1" ht="15" customHeight="1" x14ac:dyDescent="0.25">
      <c r="A45" s="385" t="s">
        <v>43</v>
      </c>
      <c r="B45" s="385"/>
      <c r="C45" s="14" t="s">
        <v>69</v>
      </c>
      <c r="D45" s="15" t="s">
        <v>63</v>
      </c>
      <c r="E45" s="19">
        <f>$E$32+$E$33+$E$34</f>
        <v>34</v>
      </c>
      <c r="F45" s="16">
        <v>4</v>
      </c>
      <c r="G45" s="28">
        <v>15</v>
      </c>
      <c r="H45" s="15" t="s">
        <v>38</v>
      </c>
    </row>
    <row r="46" spans="1:8" s="11" customFormat="1" ht="15" customHeight="1" x14ac:dyDescent="0.25">
      <c r="A46" s="385" t="s">
        <v>70</v>
      </c>
      <c r="B46" s="385"/>
      <c r="C46" s="14" t="s">
        <v>71</v>
      </c>
      <c r="D46" s="15" t="s">
        <v>63</v>
      </c>
      <c r="E46" s="19">
        <f>$E$32+$E$33+$E$34</f>
        <v>34</v>
      </c>
      <c r="F46" s="16">
        <v>1</v>
      </c>
      <c r="G46" s="28">
        <v>150</v>
      </c>
      <c r="H46" s="15" t="s">
        <v>38</v>
      </c>
    </row>
    <row r="47" spans="1:8" s="12" customFormat="1" ht="15" customHeight="1" x14ac:dyDescent="0.25">
      <c r="A47" s="20">
        <v>2</v>
      </c>
      <c r="B47" s="384" t="s">
        <v>72</v>
      </c>
      <c r="C47" s="384"/>
      <c r="D47" s="384"/>
      <c r="E47" s="384"/>
      <c r="F47" s="384"/>
      <c r="G47" s="384"/>
      <c r="H47" s="384"/>
    </row>
    <row r="48" spans="1:8" s="11" customFormat="1" ht="15" customHeight="1" x14ac:dyDescent="0.25">
      <c r="A48" s="385" t="s">
        <v>28</v>
      </c>
      <c r="B48" s="385"/>
      <c r="C48" s="14" t="s">
        <v>73</v>
      </c>
      <c r="D48" s="15" t="s">
        <v>63</v>
      </c>
      <c r="E48" s="16">
        <f>E32</f>
        <v>27</v>
      </c>
      <c r="F48" s="16">
        <v>12</v>
      </c>
      <c r="G48" s="28">
        <v>30</v>
      </c>
      <c r="H48" s="15" t="s">
        <v>38</v>
      </c>
    </row>
    <row r="49" spans="1:8" ht="12" customHeight="1" x14ac:dyDescent="0.25">
      <c r="A49" s="401" t="s">
        <v>20</v>
      </c>
      <c r="B49" s="401"/>
      <c r="C49" s="402"/>
      <c r="D49" s="402"/>
      <c r="E49" s="402"/>
      <c r="F49" s="402"/>
      <c r="G49" s="402"/>
      <c r="H49" s="402"/>
    </row>
    <row r="50" spans="1:8" ht="12" customHeight="1" x14ac:dyDescent="0.25">
      <c r="A50" s="26"/>
      <c r="B50" s="26"/>
      <c r="C50" s="26"/>
      <c r="D50" s="26"/>
      <c r="E50" s="26"/>
      <c r="F50" s="26"/>
      <c r="G50" s="26"/>
      <c r="H50" s="26"/>
    </row>
    <row r="51" spans="1:8" ht="15" customHeight="1" x14ac:dyDescent="0.25"/>
    <row r="52" spans="1:8" ht="15" customHeight="1" x14ac:dyDescent="0.25"/>
    <row r="53" spans="1:8" s="27" customFormat="1" ht="15" customHeight="1" x14ac:dyDescent="0.25">
      <c r="A53" s="31" t="s">
        <v>81</v>
      </c>
      <c r="B53" s="393" t="s">
        <v>80</v>
      </c>
      <c r="C53" s="393"/>
      <c r="D53" s="393"/>
      <c r="E53" s="393"/>
      <c r="F53" s="393"/>
      <c r="G53" s="393"/>
      <c r="H53" s="393"/>
    </row>
    <row r="54" spans="1:8" s="12" customFormat="1" ht="15" customHeight="1" x14ac:dyDescent="0.25">
      <c r="A54" s="398" t="s">
        <v>22</v>
      </c>
      <c r="B54" s="399"/>
      <c r="C54" s="399"/>
      <c r="D54" s="400"/>
      <c r="E54" s="389" t="s">
        <v>23</v>
      </c>
      <c r="F54" s="391"/>
      <c r="G54" s="22" t="s">
        <v>94</v>
      </c>
      <c r="H54" s="21" t="s">
        <v>25</v>
      </c>
    </row>
    <row r="55" spans="1:8" s="1" customFormat="1" ht="15" customHeight="1" x14ac:dyDescent="0.25">
      <c r="A55" s="20">
        <v>1</v>
      </c>
      <c r="B55" s="384" t="s">
        <v>82</v>
      </c>
      <c r="C55" s="384"/>
      <c r="D55" s="384"/>
      <c r="E55" s="384"/>
      <c r="F55" s="384"/>
      <c r="G55" s="384"/>
      <c r="H55" s="384"/>
    </row>
    <row r="56" spans="1:8" x14ac:dyDescent="0.25">
      <c r="A56" s="385" t="s">
        <v>28</v>
      </c>
      <c r="B56" s="385"/>
      <c r="C56" s="403" t="s">
        <v>86</v>
      </c>
      <c r="D56" s="403"/>
      <c r="E56" s="397" t="s">
        <v>85</v>
      </c>
      <c r="F56" s="397"/>
      <c r="G56" s="28">
        <v>4000</v>
      </c>
      <c r="H56" s="15" t="s">
        <v>38</v>
      </c>
    </row>
    <row r="57" spans="1:8" x14ac:dyDescent="0.25">
      <c r="A57" s="385" t="s">
        <v>33</v>
      </c>
      <c r="B57" s="385"/>
      <c r="C57" s="403" t="s">
        <v>183</v>
      </c>
      <c r="D57" s="403"/>
      <c r="E57" s="397" t="s">
        <v>85</v>
      </c>
      <c r="F57" s="397"/>
      <c r="G57" s="28">
        <v>280</v>
      </c>
      <c r="H57" s="15" t="s">
        <v>38</v>
      </c>
    </row>
    <row r="58" spans="1:8" x14ac:dyDescent="0.25">
      <c r="A58" s="385" t="s">
        <v>39</v>
      </c>
      <c r="B58" s="385"/>
      <c r="C58" s="403" t="s">
        <v>87</v>
      </c>
      <c r="D58" s="403"/>
      <c r="E58" s="397" t="s">
        <v>85</v>
      </c>
      <c r="F58" s="397"/>
      <c r="G58" s="28">
        <v>35</v>
      </c>
      <c r="H58" s="15" t="s">
        <v>38</v>
      </c>
    </row>
    <row r="59" spans="1:8" x14ac:dyDescent="0.25">
      <c r="A59" s="385" t="s">
        <v>40</v>
      </c>
      <c r="B59" s="385"/>
      <c r="C59" s="403" t="s">
        <v>88</v>
      </c>
      <c r="D59" s="403"/>
      <c r="E59" s="397" t="s">
        <v>85</v>
      </c>
      <c r="F59" s="397"/>
      <c r="G59" s="28">
        <v>1200</v>
      </c>
      <c r="H59" s="15" t="s">
        <v>38</v>
      </c>
    </row>
    <row r="60" spans="1:8" x14ac:dyDescent="0.25">
      <c r="A60" s="385" t="s">
        <v>41</v>
      </c>
      <c r="B60" s="385"/>
      <c r="C60" s="403" t="s">
        <v>89</v>
      </c>
      <c r="D60" s="403"/>
      <c r="E60" s="397" t="s">
        <v>85</v>
      </c>
      <c r="F60" s="397"/>
      <c r="G60" s="28">
        <v>200</v>
      </c>
      <c r="H60" s="15" t="s">
        <v>38</v>
      </c>
    </row>
    <row r="61" spans="1:8" x14ac:dyDescent="0.25">
      <c r="A61" s="385" t="s">
        <v>42</v>
      </c>
      <c r="B61" s="385"/>
      <c r="C61" s="403" t="s">
        <v>90</v>
      </c>
      <c r="D61" s="403"/>
      <c r="E61" s="397" t="s">
        <v>85</v>
      </c>
      <c r="F61" s="397"/>
      <c r="G61" s="28">
        <v>2500</v>
      </c>
      <c r="H61" s="15" t="s">
        <v>38</v>
      </c>
    </row>
    <row r="62" spans="1:8" x14ac:dyDescent="0.25">
      <c r="A62" s="385" t="s">
        <v>43</v>
      </c>
      <c r="B62" s="385"/>
      <c r="C62" s="403" t="s">
        <v>91</v>
      </c>
      <c r="D62" s="403"/>
      <c r="E62" s="397" t="s">
        <v>85</v>
      </c>
      <c r="F62" s="397"/>
      <c r="G62" s="28">
        <v>500</v>
      </c>
      <c r="H62" s="15" t="s">
        <v>38</v>
      </c>
    </row>
    <row r="63" spans="1:8" x14ac:dyDescent="0.25">
      <c r="A63" s="385" t="s">
        <v>70</v>
      </c>
      <c r="B63" s="385"/>
      <c r="C63" s="403" t="s">
        <v>112</v>
      </c>
      <c r="D63" s="404"/>
      <c r="E63" s="397" t="s">
        <v>85</v>
      </c>
      <c r="F63" s="397"/>
      <c r="G63" s="28">
        <v>300</v>
      </c>
      <c r="H63" s="15" t="s">
        <v>38</v>
      </c>
    </row>
    <row r="64" spans="1:8" x14ac:dyDescent="0.25">
      <c r="A64" s="385" t="s">
        <v>83</v>
      </c>
      <c r="B64" s="385"/>
      <c r="C64" s="403" t="s">
        <v>92</v>
      </c>
      <c r="D64" s="403"/>
      <c r="E64" s="397" t="s">
        <v>85</v>
      </c>
      <c r="F64" s="397"/>
      <c r="G64" s="28">
        <v>300</v>
      </c>
      <c r="H64" s="15" t="s">
        <v>38</v>
      </c>
    </row>
    <row r="65" spans="1:8" x14ac:dyDescent="0.25">
      <c r="A65" s="385" t="s">
        <v>84</v>
      </c>
      <c r="B65" s="385"/>
      <c r="C65" s="403" t="s">
        <v>93</v>
      </c>
      <c r="D65" s="403"/>
      <c r="E65" s="397" t="s">
        <v>85</v>
      </c>
      <c r="F65" s="397"/>
      <c r="G65" s="28">
        <v>1000</v>
      </c>
      <c r="H65" s="15" t="s">
        <v>38</v>
      </c>
    </row>
    <row r="66" spans="1:8" ht="15" customHeight="1" x14ac:dyDescent="0.25">
      <c r="A66" s="20">
        <v>2</v>
      </c>
      <c r="B66" s="384" t="s">
        <v>95</v>
      </c>
      <c r="C66" s="384"/>
      <c r="D66" s="384"/>
      <c r="E66" s="384"/>
      <c r="F66" s="384"/>
      <c r="G66" s="384"/>
      <c r="H66" s="384"/>
    </row>
    <row r="67" spans="1:8" x14ac:dyDescent="0.25">
      <c r="A67" s="385" t="s">
        <v>28</v>
      </c>
      <c r="B67" s="385"/>
      <c r="C67" s="403" t="s">
        <v>96</v>
      </c>
      <c r="D67" s="403"/>
      <c r="E67" s="397" t="s">
        <v>85</v>
      </c>
      <c r="F67" s="397"/>
      <c r="G67" s="32">
        <v>6000</v>
      </c>
      <c r="H67" s="15" t="s">
        <v>38</v>
      </c>
    </row>
    <row r="68" spans="1:8" x14ac:dyDescent="0.25">
      <c r="A68" s="385" t="s">
        <v>33</v>
      </c>
      <c r="B68" s="385"/>
      <c r="C68" s="403" t="s">
        <v>97</v>
      </c>
      <c r="D68" s="403"/>
      <c r="E68" s="397" t="s">
        <v>85</v>
      </c>
      <c r="F68" s="397"/>
      <c r="G68" s="32">
        <v>3000</v>
      </c>
      <c r="H68" s="15" t="s">
        <v>38</v>
      </c>
    </row>
    <row r="69" spans="1:8" x14ac:dyDescent="0.25">
      <c r="A69" s="385" t="s">
        <v>39</v>
      </c>
      <c r="B69" s="385"/>
      <c r="C69" s="403" t="s">
        <v>98</v>
      </c>
      <c r="D69" s="403"/>
      <c r="E69" s="397" t="s">
        <v>85</v>
      </c>
      <c r="F69" s="397"/>
      <c r="G69" s="32">
        <v>1000</v>
      </c>
      <c r="H69" s="15" t="s">
        <v>38</v>
      </c>
    </row>
    <row r="70" spans="1:8" x14ac:dyDescent="0.25">
      <c r="A70" s="385" t="s">
        <v>40</v>
      </c>
      <c r="B70" s="385"/>
      <c r="C70" s="403" t="s">
        <v>99</v>
      </c>
      <c r="D70" s="403"/>
      <c r="E70" s="397" t="s">
        <v>85</v>
      </c>
      <c r="F70" s="397"/>
      <c r="G70" s="32">
        <v>500</v>
      </c>
      <c r="H70" s="15" t="s">
        <v>38</v>
      </c>
    </row>
    <row r="71" spans="1:8" x14ac:dyDescent="0.25">
      <c r="A71" s="385" t="s">
        <v>41</v>
      </c>
      <c r="B71" s="385"/>
      <c r="C71" s="403" t="s">
        <v>100</v>
      </c>
      <c r="D71" s="403"/>
      <c r="E71" s="397" t="s">
        <v>85</v>
      </c>
      <c r="F71" s="397"/>
      <c r="G71" s="32">
        <v>750</v>
      </c>
      <c r="H71" s="15" t="s">
        <v>38</v>
      </c>
    </row>
    <row r="72" spans="1:8" x14ac:dyDescent="0.25">
      <c r="A72" s="385" t="s">
        <v>42</v>
      </c>
      <c r="B72" s="385"/>
      <c r="C72" s="403" t="s">
        <v>101</v>
      </c>
      <c r="D72" s="403"/>
      <c r="E72" s="397" t="s">
        <v>85</v>
      </c>
      <c r="F72" s="397"/>
      <c r="G72" s="32">
        <v>500</v>
      </c>
      <c r="H72" s="15" t="s">
        <v>38</v>
      </c>
    </row>
    <row r="73" spans="1:8" s="30" customFormat="1" ht="15" customHeight="1" x14ac:dyDescent="0.2">
      <c r="A73" s="120">
        <v>3</v>
      </c>
      <c r="B73" s="405" t="s">
        <v>102</v>
      </c>
      <c r="C73" s="405"/>
      <c r="D73" s="405"/>
      <c r="E73" s="405"/>
      <c r="F73" s="405"/>
      <c r="G73" s="405"/>
      <c r="H73" s="405"/>
    </row>
    <row r="74" spans="1:8" x14ac:dyDescent="0.25">
      <c r="A74" s="385" t="s">
        <v>28</v>
      </c>
      <c r="B74" s="385"/>
      <c r="C74" s="403" t="s">
        <v>103</v>
      </c>
      <c r="D74" s="403"/>
      <c r="E74" s="397" t="s">
        <v>85</v>
      </c>
      <c r="F74" s="397"/>
      <c r="G74" s="28">
        <v>750</v>
      </c>
      <c r="H74" s="15" t="s">
        <v>38</v>
      </c>
    </row>
    <row r="75" spans="1:8" x14ac:dyDescent="0.25">
      <c r="A75" s="385" t="s">
        <v>33</v>
      </c>
      <c r="B75" s="385"/>
      <c r="C75" s="403" t="s">
        <v>104</v>
      </c>
      <c r="D75" s="403"/>
      <c r="E75" s="397" t="s">
        <v>85</v>
      </c>
      <c r="F75" s="397"/>
      <c r="G75" s="28">
        <v>2500</v>
      </c>
      <c r="H75" s="15" t="s">
        <v>38</v>
      </c>
    </row>
    <row r="76" spans="1:8" x14ac:dyDescent="0.25">
      <c r="A76" s="385" t="s">
        <v>39</v>
      </c>
      <c r="B76" s="385"/>
      <c r="C76" s="403" t="s">
        <v>105</v>
      </c>
      <c r="D76" s="403"/>
      <c r="E76" s="397" t="s">
        <v>85</v>
      </c>
      <c r="F76" s="397"/>
      <c r="G76" s="28">
        <v>500</v>
      </c>
      <c r="H76" s="15" t="s">
        <v>38</v>
      </c>
    </row>
    <row r="77" spans="1:8" ht="15" customHeight="1" x14ac:dyDescent="0.25">
      <c r="A77" s="385" t="s">
        <v>40</v>
      </c>
      <c r="B77" s="385"/>
      <c r="C77" s="403" t="s">
        <v>110</v>
      </c>
      <c r="D77" s="403"/>
      <c r="E77" s="397" t="s">
        <v>85</v>
      </c>
      <c r="F77" s="397"/>
      <c r="G77" s="28">
        <v>350</v>
      </c>
      <c r="H77" s="15" t="s">
        <v>38</v>
      </c>
    </row>
    <row r="78" spans="1:8" ht="13.5" customHeight="1" x14ac:dyDescent="0.25">
      <c r="A78" s="385" t="s">
        <v>41</v>
      </c>
      <c r="B78" s="385"/>
      <c r="C78" s="403" t="s">
        <v>106</v>
      </c>
      <c r="D78" s="403"/>
      <c r="E78" s="397" t="s">
        <v>85</v>
      </c>
      <c r="F78" s="397"/>
      <c r="G78" s="28">
        <v>350</v>
      </c>
      <c r="H78" s="15" t="s">
        <v>38</v>
      </c>
    </row>
    <row r="79" spans="1:8" ht="15" customHeight="1" x14ac:dyDescent="0.25">
      <c r="A79" s="385" t="s">
        <v>42</v>
      </c>
      <c r="B79" s="385"/>
      <c r="C79" s="403" t="s">
        <v>107</v>
      </c>
      <c r="D79" s="403"/>
      <c r="E79" s="397" t="s">
        <v>85</v>
      </c>
      <c r="F79" s="397"/>
      <c r="G79" s="28">
        <f>('P3-INVESTIMENTOS INICIAIS'!F28)*5%</f>
        <v>6869.5</v>
      </c>
      <c r="H79" s="15" t="s">
        <v>38</v>
      </c>
    </row>
    <row r="80" spans="1:8" ht="15" customHeight="1" x14ac:dyDescent="0.25">
      <c r="A80" s="385" t="s">
        <v>43</v>
      </c>
      <c r="B80" s="385"/>
      <c r="C80" s="403" t="s">
        <v>111</v>
      </c>
      <c r="D80" s="403"/>
      <c r="E80" s="397" t="s">
        <v>85</v>
      </c>
      <c r="F80" s="397"/>
      <c r="G80" s="28">
        <f>('P3-INVESTIMENTOS INICIAIS'!F27)*3%</f>
        <v>1521</v>
      </c>
      <c r="H80" s="15" t="s">
        <v>38</v>
      </c>
    </row>
    <row r="81" spans="1:8" x14ac:dyDescent="0.25">
      <c r="A81" s="385" t="s">
        <v>70</v>
      </c>
      <c r="B81" s="385"/>
      <c r="C81" s="403" t="s">
        <v>108</v>
      </c>
      <c r="D81" s="403"/>
      <c r="E81" s="397" t="s">
        <v>85</v>
      </c>
      <c r="F81" s="397"/>
      <c r="G81" s="28">
        <v>1460</v>
      </c>
      <c r="H81" s="15" t="s">
        <v>38</v>
      </c>
    </row>
    <row r="82" spans="1:8" x14ac:dyDescent="0.25">
      <c r="A82" s="385" t="s">
        <v>83</v>
      </c>
      <c r="B82" s="385"/>
      <c r="C82" s="403" t="s">
        <v>109</v>
      </c>
      <c r="D82" s="403"/>
      <c r="E82" s="397" t="s">
        <v>85</v>
      </c>
      <c r="F82" s="397"/>
      <c r="G82" s="28">
        <v>550</v>
      </c>
      <c r="H82" s="15" t="s">
        <v>38</v>
      </c>
    </row>
  </sheetData>
  <mergeCells count="130">
    <mergeCell ref="E78:F78"/>
    <mergeCell ref="E79:F79"/>
    <mergeCell ref="E80:F80"/>
    <mergeCell ref="E81:F81"/>
    <mergeCell ref="E82:F82"/>
    <mergeCell ref="A82:B82"/>
    <mergeCell ref="C77:D77"/>
    <mergeCell ref="C78:D78"/>
    <mergeCell ref="C79:D79"/>
    <mergeCell ref="C80:D80"/>
    <mergeCell ref="C81:D81"/>
    <mergeCell ref="C82:D82"/>
    <mergeCell ref="A78:B78"/>
    <mergeCell ref="A79:B79"/>
    <mergeCell ref="A80:B80"/>
    <mergeCell ref="A81:B81"/>
    <mergeCell ref="A76:B76"/>
    <mergeCell ref="C76:D76"/>
    <mergeCell ref="E76:F76"/>
    <mergeCell ref="B73:H73"/>
    <mergeCell ref="A77:B77"/>
    <mergeCell ref="E74:F74"/>
    <mergeCell ref="E75:F75"/>
    <mergeCell ref="E77:F77"/>
    <mergeCell ref="A74:B74"/>
    <mergeCell ref="C74:D74"/>
    <mergeCell ref="A75:B75"/>
    <mergeCell ref="C75:D75"/>
    <mergeCell ref="A70:B70"/>
    <mergeCell ref="C70:D70"/>
    <mergeCell ref="E70:F70"/>
    <mergeCell ref="A71:B71"/>
    <mergeCell ref="C71:D71"/>
    <mergeCell ref="A72:B72"/>
    <mergeCell ref="C72:D72"/>
    <mergeCell ref="E72:F72"/>
    <mergeCell ref="A68:B68"/>
    <mergeCell ref="C68:D68"/>
    <mergeCell ref="E68:F68"/>
    <mergeCell ref="A69:B69"/>
    <mergeCell ref="C69:D69"/>
    <mergeCell ref="E69:F69"/>
    <mergeCell ref="E63:F63"/>
    <mergeCell ref="E65:F65"/>
    <mergeCell ref="B66:H66"/>
    <mergeCell ref="A67:B67"/>
    <mergeCell ref="C67:D67"/>
    <mergeCell ref="E67:F67"/>
    <mergeCell ref="C64:D64"/>
    <mergeCell ref="C65:D65"/>
    <mergeCell ref="E56:F56"/>
    <mergeCell ref="E57:F57"/>
    <mergeCell ref="E58:F58"/>
    <mergeCell ref="E59:F59"/>
    <mergeCell ref="E60:F60"/>
    <mergeCell ref="E61:F61"/>
    <mergeCell ref="E62:F62"/>
    <mergeCell ref="A65:B65"/>
    <mergeCell ref="C56:D56"/>
    <mergeCell ref="C57:D57"/>
    <mergeCell ref="C58:D58"/>
    <mergeCell ref="C59:D59"/>
    <mergeCell ref="C60:D60"/>
    <mergeCell ref="C61:D61"/>
    <mergeCell ref="C62:D62"/>
    <mergeCell ref="C63:D63"/>
    <mergeCell ref="E64:F64"/>
    <mergeCell ref="E71:F71"/>
    <mergeCell ref="B53:H53"/>
    <mergeCell ref="A54:D54"/>
    <mergeCell ref="A48:B48"/>
    <mergeCell ref="B36:H36"/>
    <mergeCell ref="A35:H35"/>
    <mergeCell ref="A43:B43"/>
    <mergeCell ref="A44:B44"/>
    <mergeCell ref="A45:B45"/>
    <mergeCell ref="A46:B46"/>
    <mergeCell ref="B38:H38"/>
    <mergeCell ref="B47:H47"/>
    <mergeCell ref="A49:H49"/>
    <mergeCell ref="A59:B59"/>
    <mergeCell ref="A60:B60"/>
    <mergeCell ref="A61:B61"/>
    <mergeCell ref="A62:B62"/>
    <mergeCell ref="A63:B63"/>
    <mergeCell ref="A64:B64"/>
    <mergeCell ref="B55:H55"/>
    <mergeCell ref="A56:B56"/>
    <mergeCell ref="A57:B57"/>
    <mergeCell ref="A58:B58"/>
    <mergeCell ref="A41:B41"/>
    <mergeCell ref="A42:B42"/>
    <mergeCell ref="A26:B26"/>
    <mergeCell ref="B27:H27"/>
    <mergeCell ref="A28:B28"/>
    <mergeCell ref="A29:B29"/>
    <mergeCell ref="A30:B30"/>
    <mergeCell ref="A32:B32"/>
    <mergeCell ref="E54:F54"/>
    <mergeCell ref="A11:B11"/>
    <mergeCell ref="A13:B13"/>
    <mergeCell ref="A14:B14"/>
    <mergeCell ref="A15:B15"/>
    <mergeCell ref="B12:H12"/>
    <mergeCell ref="A34:B34"/>
    <mergeCell ref="B31:H31"/>
    <mergeCell ref="A39:B39"/>
    <mergeCell ref="A40:B40"/>
    <mergeCell ref="A37:C37"/>
    <mergeCell ref="A33:B33"/>
    <mergeCell ref="B19:H19"/>
    <mergeCell ref="A20:B20"/>
    <mergeCell ref="A18:C18"/>
    <mergeCell ref="B17:H17"/>
    <mergeCell ref="A16:H16"/>
    <mergeCell ref="A21:B21"/>
    <mergeCell ref="A22:B22"/>
    <mergeCell ref="B23:H23"/>
    <mergeCell ref="A24:B24"/>
    <mergeCell ref="A25:B25"/>
    <mergeCell ref="B4:H4"/>
    <mergeCell ref="A10:B10"/>
    <mergeCell ref="A1:H1"/>
    <mergeCell ref="A3:C3"/>
    <mergeCell ref="B2:H2"/>
    <mergeCell ref="A5:B5"/>
    <mergeCell ref="A6:B6"/>
    <mergeCell ref="B7:H7"/>
    <mergeCell ref="A8:B8"/>
    <mergeCell ref="A9:B9"/>
  </mergeCells>
  <pageMargins left="0.25" right="0.25" top="0.3079710144927536" bottom="0.53442028985507251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8F9AC-F72E-4AF2-8C66-9F73D61CA866}">
  <dimension ref="A1:G49"/>
  <sheetViews>
    <sheetView view="pageLayout" topLeftCell="D42" zoomScale="115" zoomScaleNormal="100" zoomScalePageLayoutView="115" workbookViewId="0">
      <selection activeCell="H37" sqref="H37"/>
    </sheetView>
  </sheetViews>
  <sheetFormatPr defaultRowHeight="15" x14ac:dyDescent="0.25"/>
  <cols>
    <col min="1" max="1" width="2.7109375" style="33" customWidth="1"/>
    <col min="2" max="2" width="2.85546875" style="33" customWidth="1"/>
    <col min="3" max="3" width="29.85546875" style="33" customWidth="1"/>
    <col min="4" max="4" width="9.7109375" style="34" bestFit="1" customWidth="1"/>
    <col min="5" max="5" width="11.28515625" style="35" bestFit="1" customWidth="1"/>
    <col min="6" max="6" width="15" style="35" bestFit="1" customWidth="1"/>
    <col min="7" max="7" width="27.5703125" style="34" customWidth="1"/>
  </cols>
  <sheetData>
    <row r="1" spans="1:7" ht="22.5" customHeight="1" x14ac:dyDescent="0.25">
      <c r="A1" s="415" t="s">
        <v>136</v>
      </c>
      <c r="B1" s="416"/>
      <c r="C1" s="416"/>
      <c r="D1" s="416"/>
      <c r="E1" s="416"/>
      <c r="F1" s="416"/>
      <c r="G1" s="417"/>
    </row>
    <row r="2" spans="1:7" x14ac:dyDescent="0.25">
      <c r="A2" s="418"/>
      <c r="B2" s="418"/>
      <c r="C2" s="418"/>
      <c r="D2" s="418"/>
      <c r="E2" s="418"/>
      <c r="F2" s="418"/>
      <c r="G2" s="418"/>
    </row>
    <row r="3" spans="1:7" s="30" customFormat="1" ht="23.25" customHeight="1" x14ac:dyDescent="0.2">
      <c r="A3" s="393" t="s">
        <v>22</v>
      </c>
      <c r="B3" s="393"/>
      <c r="C3" s="393"/>
      <c r="D3" s="60" t="s">
        <v>24</v>
      </c>
      <c r="E3" s="61" t="s">
        <v>134</v>
      </c>
      <c r="F3" s="61" t="s">
        <v>133</v>
      </c>
      <c r="G3" s="62" t="s">
        <v>25</v>
      </c>
    </row>
    <row r="4" spans="1:7" s="12" customFormat="1" ht="15" customHeight="1" x14ac:dyDescent="0.25">
      <c r="A4" s="63">
        <v>1</v>
      </c>
      <c r="B4" s="384" t="s">
        <v>141</v>
      </c>
      <c r="C4" s="384"/>
      <c r="D4" s="384"/>
      <c r="E4" s="384"/>
      <c r="F4" s="384"/>
      <c r="G4" s="384"/>
    </row>
    <row r="5" spans="1:7" s="1" customFormat="1" x14ac:dyDescent="0.25">
      <c r="A5" s="409" t="s">
        <v>28</v>
      </c>
      <c r="B5" s="409"/>
      <c r="C5" s="48" t="s">
        <v>142</v>
      </c>
      <c r="D5" s="49">
        <v>3</v>
      </c>
      <c r="E5" s="50">
        <v>850</v>
      </c>
      <c r="F5" s="50">
        <f>D5*E5</f>
        <v>2550</v>
      </c>
      <c r="G5" s="51" t="s">
        <v>119</v>
      </c>
    </row>
    <row r="6" spans="1:7" s="1" customFormat="1" x14ac:dyDescent="0.25">
      <c r="A6" s="409" t="s">
        <v>33</v>
      </c>
      <c r="B6" s="409"/>
      <c r="C6" s="48" t="s">
        <v>144</v>
      </c>
      <c r="D6" s="49">
        <v>3</v>
      </c>
      <c r="E6" s="50">
        <v>550</v>
      </c>
      <c r="F6" s="50">
        <f t="shared" ref="F6:F15" si="0">D6*E6</f>
        <v>1650</v>
      </c>
      <c r="G6" s="51" t="s">
        <v>119</v>
      </c>
    </row>
    <row r="7" spans="1:7" s="1" customFormat="1" x14ac:dyDescent="0.25">
      <c r="A7" s="409" t="s">
        <v>39</v>
      </c>
      <c r="B7" s="409"/>
      <c r="C7" s="48" t="s">
        <v>145</v>
      </c>
      <c r="D7" s="49">
        <f>'P2-INSUMOS BÁSICOS'!E6</f>
        <v>25</v>
      </c>
      <c r="E7" s="50">
        <v>130</v>
      </c>
      <c r="F7" s="50">
        <f t="shared" si="0"/>
        <v>3250</v>
      </c>
      <c r="G7" s="51" t="s">
        <v>119</v>
      </c>
    </row>
    <row r="8" spans="1:7" s="1" customFormat="1" x14ac:dyDescent="0.25">
      <c r="A8" s="409" t="s">
        <v>40</v>
      </c>
      <c r="B8" s="409"/>
      <c r="C8" s="48" t="s">
        <v>146</v>
      </c>
      <c r="D8" s="49">
        <f>D7/4</f>
        <v>6.25</v>
      </c>
      <c r="E8" s="50">
        <v>180</v>
      </c>
      <c r="F8" s="50">
        <f t="shared" si="0"/>
        <v>1125</v>
      </c>
      <c r="G8" s="51" t="s">
        <v>119</v>
      </c>
    </row>
    <row r="9" spans="1:7" s="1" customFormat="1" x14ac:dyDescent="0.25">
      <c r="A9" s="409" t="s">
        <v>41</v>
      </c>
      <c r="B9" s="409"/>
      <c r="C9" s="48" t="s">
        <v>147</v>
      </c>
      <c r="D9" s="49">
        <v>1</v>
      </c>
      <c r="E9" s="50">
        <v>150</v>
      </c>
      <c r="F9" s="50">
        <f t="shared" si="0"/>
        <v>150</v>
      </c>
      <c r="G9" s="51" t="s">
        <v>119</v>
      </c>
    </row>
    <row r="10" spans="1:7" s="1" customFormat="1" x14ac:dyDescent="0.25">
      <c r="A10" s="409" t="s">
        <v>42</v>
      </c>
      <c r="B10" s="409"/>
      <c r="C10" s="48" t="s">
        <v>148</v>
      </c>
      <c r="D10" s="49">
        <v>1</v>
      </c>
      <c r="E10" s="50">
        <v>3800</v>
      </c>
      <c r="F10" s="50">
        <f t="shared" si="0"/>
        <v>3800</v>
      </c>
      <c r="G10" s="51" t="s">
        <v>119</v>
      </c>
    </row>
    <row r="11" spans="1:7" s="1" customFormat="1" x14ac:dyDescent="0.25">
      <c r="A11" s="409" t="s">
        <v>43</v>
      </c>
      <c r="B11" s="409"/>
      <c r="C11" s="48" t="s">
        <v>149</v>
      </c>
      <c r="D11" s="49">
        <v>1</v>
      </c>
      <c r="E11" s="50">
        <v>35</v>
      </c>
      <c r="F11" s="50">
        <f t="shared" si="0"/>
        <v>35</v>
      </c>
      <c r="G11" s="51" t="s">
        <v>119</v>
      </c>
    </row>
    <row r="12" spans="1:7" s="1" customFormat="1" x14ac:dyDescent="0.25">
      <c r="A12" s="409" t="s">
        <v>70</v>
      </c>
      <c r="B12" s="409"/>
      <c r="C12" s="48" t="s">
        <v>150</v>
      </c>
      <c r="D12" s="49">
        <v>1</v>
      </c>
      <c r="E12" s="50">
        <v>1200</v>
      </c>
      <c r="F12" s="50">
        <f t="shared" si="0"/>
        <v>1200</v>
      </c>
      <c r="G12" s="51" t="s">
        <v>119</v>
      </c>
    </row>
    <row r="13" spans="1:7" s="1" customFormat="1" x14ac:dyDescent="0.25">
      <c r="A13" s="409" t="s">
        <v>83</v>
      </c>
      <c r="B13" s="409"/>
      <c r="C13" s="48" t="s">
        <v>151</v>
      </c>
      <c r="D13" s="49">
        <v>1</v>
      </c>
      <c r="E13" s="50">
        <v>250</v>
      </c>
      <c r="F13" s="50">
        <f t="shared" si="0"/>
        <v>250</v>
      </c>
      <c r="G13" s="51" t="s">
        <v>119</v>
      </c>
    </row>
    <row r="14" spans="1:7" s="1" customFormat="1" x14ac:dyDescent="0.25">
      <c r="A14" s="409" t="s">
        <v>143</v>
      </c>
      <c r="B14" s="409"/>
      <c r="C14" s="48" t="s">
        <v>152</v>
      </c>
      <c r="D14" s="49">
        <v>1</v>
      </c>
      <c r="E14" s="50">
        <v>800</v>
      </c>
      <c r="F14" s="50">
        <f t="shared" si="0"/>
        <v>800</v>
      </c>
      <c r="G14" s="51" t="s">
        <v>119</v>
      </c>
    </row>
    <row r="15" spans="1:7" s="1" customFormat="1" x14ac:dyDescent="0.25">
      <c r="A15" s="409" t="s">
        <v>84</v>
      </c>
      <c r="B15" s="409"/>
      <c r="C15" s="48" t="s">
        <v>153</v>
      </c>
      <c r="D15" s="49">
        <v>1</v>
      </c>
      <c r="E15" s="50">
        <v>500</v>
      </c>
      <c r="F15" s="50">
        <f t="shared" si="0"/>
        <v>500</v>
      </c>
      <c r="G15" s="51" t="s">
        <v>119</v>
      </c>
    </row>
    <row r="16" spans="1:7" s="45" customFormat="1" ht="15" customHeight="1" x14ac:dyDescent="0.25">
      <c r="A16" s="412" t="s">
        <v>139</v>
      </c>
      <c r="B16" s="413"/>
      <c r="C16" s="413"/>
      <c r="D16" s="413"/>
      <c r="E16" s="414"/>
      <c r="F16" s="65">
        <f>SUM(F5:F15)</f>
        <v>15310</v>
      </c>
      <c r="G16" s="53"/>
    </row>
    <row r="17" spans="1:7" s="45" customFormat="1" ht="15" customHeight="1" x14ac:dyDescent="0.25">
      <c r="A17" s="64">
        <v>2</v>
      </c>
      <c r="B17" s="411" t="s">
        <v>138</v>
      </c>
      <c r="C17" s="411"/>
      <c r="D17" s="411"/>
      <c r="E17" s="411"/>
      <c r="F17" s="411"/>
      <c r="G17" s="411"/>
    </row>
    <row r="18" spans="1:7" s="1" customFormat="1" x14ac:dyDescent="0.25">
      <c r="A18" s="409" t="s">
        <v>28</v>
      </c>
      <c r="B18" s="409"/>
      <c r="C18" s="48" t="s">
        <v>120</v>
      </c>
      <c r="D18" s="49">
        <f>'P2-INSUMOS BÁSICOS'!E20*1.2</f>
        <v>32.4</v>
      </c>
      <c r="E18" s="50">
        <v>2000</v>
      </c>
      <c r="F18" s="50">
        <f>D18*E18</f>
        <v>64800</v>
      </c>
      <c r="G18" s="51" t="s">
        <v>119</v>
      </c>
    </row>
    <row r="19" spans="1:7" s="1" customFormat="1" x14ac:dyDescent="0.25">
      <c r="A19" s="409" t="s">
        <v>33</v>
      </c>
      <c r="B19" s="409"/>
      <c r="C19" s="56" t="s">
        <v>135</v>
      </c>
      <c r="D19" s="49">
        <v>3</v>
      </c>
      <c r="E19" s="50">
        <v>4500</v>
      </c>
      <c r="F19" s="50">
        <f t="shared" ref="F19:F24" si="1">D19*E19</f>
        <v>13500</v>
      </c>
      <c r="G19" s="51" t="s">
        <v>119</v>
      </c>
    </row>
    <row r="20" spans="1:7" s="1" customFormat="1" x14ac:dyDescent="0.25">
      <c r="A20" s="409" t="s">
        <v>39</v>
      </c>
      <c r="B20" s="409"/>
      <c r="C20" s="57" t="s">
        <v>121</v>
      </c>
      <c r="D20" s="49">
        <v>3</v>
      </c>
      <c r="E20" s="50">
        <v>1500</v>
      </c>
      <c r="F20" s="50">
        <f t="shared" si="1"/>
        <v>4500</v>
      </c>
      <c r="G20" s="51" t="s">
        <v>119</v>
      </c>
    </row>
    <row r="21" spans="1:7" s="1" customFormat="1" x14ac:dyDescent="0.25">
      <c r="A21" s="409" t="s">
        <v>40</v>
      </c>
      <c r="B21" s="409"/>
      <c r="C21" s="48" t="s">
        <v>122</v>
      </c>
      <c r="D21" s="49">
        <v>2</v>
      </c>
      <c r="E21" s="50">
        <v>2500</v>
      </c>
      <c r="F21" s="50">
        <f t="shared" si="1"/>
        <v>5000</v>
      </c>
      <c r="G21" s="51" t="s">
        <v>119</v>
      </c>
    </row>
    <row r="22" spans="1:7" s="1" customFormat="1" x14ac:dyDescent="0.25">
      <c r="A22" s="409" t="s">
        <v>41</v>
      </c>
      <c r="B22" s="409"/>
      <c r="C22" s="48" t="s">
        <v>123</v>
      </c>
      <c r="D22" s="49">
        <v>3</v>
      </c>
      <c r="E22" s="50">
        <v>2000</v>
      </c>
      <c r="F22" s="50">
        <f t="shared" si="1"/>
        <v>6000</v>
      </c>
      <c r="G22" s="51" t="s">
        <v>119</v>
      </c>
    </row>
    <row r="23" spans="1:7" s="1" customFormat="1" x14ac:dyDescent="0.25">
      <c r="A23" s="409" t="s">
        <v>42</v>
      </c>
      <c r="B23" s="409"/>
      <c r="C23" s="56" t="s">
        <v>140</v>
      </c>
      <c r="D23" s="49">
        <v>1</v>
      </c>
      <c r="E23" s="50">
        <v>15000</v>
      </c>
      <c r="F23" s="50">
        <f t="shared" si="1"/>
        <v>15000</v>
      </c>
      <c r="G23" s="51" t="s">
        <v>119</v>
      </c>
    </row>
    <row r="24" spans="1:7" s="1" customFormat="1" x14ac:dyDescent="0.25">
      <c r="A24" s="409" t="s">
        <v>43</v>
      </c>
      <c r="B24" s="409"/>
      <c r="C24" s="48" t="s">
        <v>124</v>
      </c>
      <c r="D24" s="49">
        <v>1</v>
      </c>
      <c r="E24" s="50">
        <v>4800</v>
      </c>
      <c r="F24" s="50">
        <f t="shared" si="1"/>
        <v>4800</v>
      </c>
      <c r="G24" s="51" t="s">
        <v>119</v>
      </c>
    </row>
    <row r="25" spans="1:7" s="45" customFormat="1" ht="15" customHeight="1" x14ac:dyDescent="0.25">
      <c r="A25" s="419" t="s">
        <v>154</v>
      </c>
      <c r="B25" s="420"/>
      <c r="C25" s="420"/>
      <c r="D25" s="420"/>
      <c r="E25" s="420"/>
      <c r="F25" s="67">
        <f>SUM(F18:F24)</f>
        <v>113600</v>
      </c>
      <c r="G25" s="66"/>
    </row>
    <row r="26" spans="1:7" s="45" customFormat="1" ht="15" customHeight="1" x14ac:dyDescent="0.25">
      <c r="A26" s="64">
        <v>3</v>
      </c>
      <c r="B26" s="411" t="s">
        <v>155</v>
      </c>
      <c r="C26" s="411"/>
      <c r="D26" s="411"/>
      <c r="E26" s="411"/>
      <c r="F26" s="411"/>
      <c r="G26" s="411"/>
    </row>
    <row r="27" spans="1:7" s="1" customFormat="1" x14ac:dyDescent="0.25">
      <c r="A27" s="409" t="s">
        <v>28</v>
      </c>
      <c r="B27" s="409"/>
      <c r="C27" s="57" t="s">
        <v>125</v>
      </c>
      <c r="D27" s="49">
        <v>65</v>
      </c>
      <c r="E27" s="50">
        <v>780</v>
      </c>
      <c r="F27" s="50">
        <f>D27*E27</f>
        <v>50700</v>
      </c>
      <c r="G27" s="51" t="s">
        <v>119</v>
      </c>
    </row>
    <row r="28" spans="1:7" s="1" customFormat="1" x14ac:dyDescent="0.25">
      <c r="A28" s="409" t="s">
        <v>33</v>
      </c>
      <c r="B28" s="409"/>
      <c r="C28" s="56" t="s">
        <v>302</v>
      </c>
      <c r="D28" s="49">
        <f>ROUND(((1892*5.5)*0.12),0)</f>
        <v>1249</v>
      </c>
      <c r="E28" s="50">
        <v>110</v>
      </c>
      <c r="F28" s="50">
        <f>D28*E28</f>
        <v>137390</v>
      </c>
      <c r="G28" s="51" t="s">
        <v>119</v>
      </c>
    </row>
    <row r="29" spans="1:7" s="1" customFormat="1" x14ac:dyDescent="0.25">
      <c r="A29" s="421" t="s">
        <v>154</v>
      </c>
      <c r="B29" s="422"/>
      <c r="C29" s="422"/>
      <c r="D29" s="422"/>
      <c r="E29" s="422"/>
      <c r="F29" s="75">
        <f>SUM(F27:F28)</f>
        <v>188090</v>
      </c>
      <c r="G29" s="47"/>
    </row>
    <row r="30" spans="1:7" s="45" customFormat="1" ht="14.25" customHeight="1" x14ac:dyDescent="0.25">
      <c r="A30" s="64">
        <v>4</v>
      </c>
      <c r="B30" s="411" t="s">
        <v>156</v>
      </c>
      <c r="C30" s="411"/>
      <c r="D30" s="411"/>
      <c r="E30" s="411"/>
      <c r="F30" s="411"/>
      <c r="G30" s="411"/>
    </row>
    <row r="31" spans="1:7" s="1" customFormat="1" x14ac:dyDescent="0.25">
      <c r="A31" s="409" t="s">
        <v>28</v>
      </c>
      <c r="B31" s="409"/>
      <c r="C31" s="48" t="s">
        <v>127</v>
      </c>
      <c r="D31" s="70">
        <v>40</v>
      </c>
      <c r="E31" s="50">
        <v>40</v>
      </c>
      <c r="F31" s="50">
        <f>D31*E31</f>
        <v>1600</v>
      </c>
      <c r="G31" s="51" t="s">
        <v>119</v>
      </c>
    </row>
    <row r="32" spans="1:7" s="1" customFormat="1" x14ac:dyDescent="0.25">
      <c r="A32" s="409" t="s">
        <v>33</v>
      </c>
      <c r="B32" s="409"/>
      <c r="C32" s="56" t="s">
        <v>128</v>
      </c>
      <c r="D32" s="70">
        <v>20000</v>
      </c>
      <c r="E32" s="50">
        <v>2</v>
      </c>
      <c r="F32" s="50">
        <f t="shared" ref="F32:F34" si="2">D32*E32</f>
        <v>40000</v>
      </c>
      <c r="G32" s="51" t="s">
        <v>119</v>
      </c>
    </row>
    <row r="33" spans="1:7" s="1" customFormat="1" x14ac:dyDescent="0.25">
      <c r="A33" s="409" t="s">
        <v>40</v>
      </c>
      <c r="B33" s="409"/>
      <c r="C33" s="48" t="s">
        <v>129</v>
      </c>
      <c r="D33" s="70">
        <v>2</v>
      </c>
      <c r="E33" s="50">
        <v>10000</v>
      </c>
      <c r="F33" s="50">
        <f t="shared" si="2"/>
        <v>20000</v>
      </c>
      <c r="G33" s="51" t="s">
        <v>119</v>
      </c>
    </row>
    <row r="34" spans="1:7" s="1" customFormat="1" x14ac:dyDescent="0.25">
      <c r="A34" s="409" t="s">
        <v>157</v>
      </c>
      <c r="B34" s="409"/>
      <c r="C34" s="48" t="s">
        <v>130</v>
      </c>
      <c r="D34" s="70">
        <v>3</v>
      </c>
      <c r="E34" s="50">
        <v>5000</v>
      </c>
      <c r="F34" s="50">
        <f t="shared" si="2"/>
        <v>15000</v>
      </c>
      <c r="G34" s="51" t="s">
        <v>119</v>
      </c>
    </row>
    <row r="35" spans="1:7" s="1" customFormat="1" x14ac:dyDescent="0.25">
      <c r="A35" s="410" t="s">
        <v>154</v>
      </c>
      <c r="B35" s="410"/>
      <c r="C35" s="410"/>
      <c r="D35" s="410"/>
      <c r="E35" s="410"/>
      <c r="F35" s="69">
        <f>SUM(F31:F34)</f>
        <v>76600</v>
      </c>
      <c r="G35" s="47"/>
    </row>
    <row r="36" spans="1:7" s="45" customFormat="1" ht="15" customHeight="1" x14ac:dyDescent="0.25">
      <c r="A36" s="64">
        <v>6</v>
      </c>
      <c r="B36" s="411" t="s">
        <v>158</v>
      </c>
      <c r="C36" s="411"/>
      <c r="D36" s="411"/>
      <c r="E36" s="411"/>
      <c r="F36" s="411"/>
      <c r="G36" s="411"/>
    </row>
    <row r="37" spans="1:7" s="1" customFormat="1" x14ac:dyDescent="0.25">
      <c r="A37" s="409" t="s">
        <v>28</v>
      </c>
      <c r="B37" s="409"/>
      <c r="C37" s="48" t="s">
        <v>131</v>
      </c>
      <c r="D37" s="70">
        <v>1</v>
      </c>
      <c r="E37" s="50">
        <v>80000</v>
      </c>
      <c r="F37" s="50">
        <f>D37*E37</f>
        <v>80000</v>
      </c>
      <c r="G37" s="51" t="s">
        <v>119</v>
      </c>
    </row>
    <row r="38" spans="1:7" s="1" customFormat="1" x14ac:dyDescent="0.25">
      <c r="A38" s="406" t="s">
        <v>33</v>
      </c>
      <c r="B38" s="406"/>
      <c r="C38" s="48" t="s">
        <v>132</v>
      </c>
      <c r="D38" s="70">
        <v>1</v>
      </c>
      <c r="E38" s="50">
        <v>5000</v>
      </c>
      <c r="F38" s="50">
        <f>D38*E38</f>
        <v>5000</v>
      </c>
      <c r="G38" s="51" t="s">
        <v>119</v>
      </c>
    </row>
    <row r="39" spans="1:7" s="1" customFormat="1" x14ac:dyDescent="0.25">
      <c r="A39" s="407" t="s">
        <v>154</v>
      </c>
      <c r="B39" s="407"/>
      <c r="C39" s="408"/>
      <c r="D39" s="408"/>
      <c r="E39" s="408"/>
      <c r="F39" s="74">
        <f>SUM(F37:F38)</f>
        <v>85000</v>
      </c>
      <c r="G39" s="55"/>
    </row>
    <row r="40" spans="1:7" s="1" customFormat="1" x14ac:dyDescent="0.25">
      <c r="A40" s="121"/>
      <c r="B40" s="121"/>
      <c r="C40" s="121"/>
      <c r="D40" s="121"/>
      <c r="E40" s="121"/>
      <c r="F40" s="122"/>
      <c r="G40" s="52"/>
    </row>
    <row r="41" spans="1:7" s="45" customFormat="1" ht="15" customHeight="1" x14ac:dyDescent="0.25">
      <c r="A41" s="64">
        <v>7</v>
      </c>
      <c r="B41" s="426" t="s">
        <v>192</v>
      </c>
      <c r="C41" s="411"/>
      <c r="D41" s="411"/>
      <c r="E41" s="411"/>
      <c r="F41" s="411"/>
      <c r="G41" s="411"/>
    </row>
    <row r="42" spans="1:7" s="1" customFormat="1" x14ac:dyDescent="0.25">
      <c r="A42" s="409" t="s">
        <v>28</v>
      </c>
      <c r="B42" s="409"/>
      <c r="C42" s="56" t="s">
        <v>193</v>
      </c>
      <c r="D42" s="70">
        <v>1</v>
      </c>
      <c r="E42" s="50">
        <v>57328</v>
      </c>
      <c r="F42" s="50">
        <f>D42*E42</f>
        <v>57328</v>
      </c>
      <c r="G42" s="51" t="s">
        <v>119</v>
      </c>
    </row>
    <row r="43" spans="1:7" s="1" customFormat="1" x14ac:dyDescent="0.25">
      <c r="A43" s="407" t="s">
        <v>154</v>
      </c>
      <c r="B43" s="407"/>
      <c r="C43" s="408"/>
      <c r="D43" s="408"/>
      <c r="E43" s="408"/>
      <c r="F43" s="74">
        <f>SUM(F42:F42)</f>
        <v>57328</v>
      </c>
      <c r="G43" s="55"/>
    </row>
    <row r="44" spans="1:7" s="1" customFormat="1" x14ac:dyDescent="0.25">
      <c r="A44" s="430"/>
      <c r="B44" s="430"/>
      <c r="C44" s="430"/>
      <c r="D44" s="430"/>
      <c r="E44" s="430"/>
      <c r="F44" s="430"/>
      <c r="G44" s="431"/>
    </row>
    <row r="45" spans="1:7" s="1" customFormat="1" x14ac:dyDescent="0.25">
      <c r="A45" s="64">
        <v>8</v>
      </c>
      <c r="B45" s="426" t="s">
        <v>488</v>
      </c>
      <c r="C45" s="411"/>
      <c r="D45" s="411"/>
      <c r="E45" s="411"/>
      <c r="F45" s="411"/>
      <c r="G45" s="411"/>
    </row>
    <row r="46" spans="1:7" s="1" customFormat="1" x14ac:dyDescent="0.25">
      <c r="A46" s="409" t="s">
        <v>28</v>
      </c>
      <c r="B46" s="409"/>
      <c r="C46" s="56" t="s">
        <v>489</v>
      </c>
      <c r="D46" s="70">
        <v>1</v>
      </c>
      <c r="E46" s="50">
        <v>500000</v>
      </c>
      <c r="F46" s="50">
        <f>D46*E46</f>
        <v>500000</v>
      </c>
      <c r="G46" s="59" t="s">
        <v>490</v>
      </c>
    </row>
    <row r="47" spans="1:7" s="1" customFormat="1" x14ac:dyDescent="0.25">
      <c r="A47" s="407" t="s">
        <v>154</v>
      </c>
      <c r="B47" s="407"/>
      <c r="C47" s="408"/>
      <c r="D47" s="408"/>
      <c r="E47" s="408"/>
      <c r="F47" s="74">
        <f>SUM(F46:F46)</f>
        <v>500000</v>
      </c>
      <c r="G47" s="55"/>
    </row>
    <row r="48" spans="1:7" s="1" customFormat="1" x14ac:dyDescent="0.25">
      <c r="A48" s="427"/>
      <c r="B48" s="428"/>
      <c r="C48" s="428"/>
      <c r="D48" s="428"/>
      <c r="E48" s="428"/>
      <c r="F48" s="428"/>
      <c r="G48" s="429"/>
    </row>
    <row r="49" spans="1:7" s="1" customFormat="1" ht="15" customHeight="1" x14ac:dyDescent="0.25">
      <c r="A49" s="423" t="s">
        <v>159</v>
      </c>
      <c r="B49" s="424"/>
      <c r="C49" s="424"/>
      <c r="D49" s="424"/>
      <c r="E49" s="425"/>
      <c r="F49" s="76">
        <f>F39+F35+F29+F25+F16+F43+F47</f>
        <v>1035928</v>
      </c>
      <c r="G49" s="41"/>
    </row>
  </sheetData>
  <mergeCells count="48">
    <mergeCell ref="A49:E49"/>
    <mergeCell ref="B41:G41"/>
    <mergeCell ref="A42:B42"/>
    <mergeCell ref="A43:E43"/>
    <mergeCell ref="B45:G45"/>
    <mergeCell ref="A46:B46"/>
    <mergeCell ref="A47:E47"/>
    <mergeCell ref="A48:G48"/>
    <mergeCell ref="A44:G44"/>
    <mergeCell ref="A32:B32"/>
    <mergeCell ref="A27:B27"/>
    <mergeCell ref="A28:B28"/>
    <mergeCell ref="A1:G1"/>
    <mergeCell ref="A2:G2"/>
    <mergeCell ref="A3:C3"/>
    <mergeCell ref="B4:G4"/>
    <mergeCell ref="A5:B5"/>
    <mergeCell ref="A6:B6"/>
    <mergeCell ref="A7:B7"/>
    <mergeCell ref="A25:E25"/>
    <mergeCell ref="B26:G26"/>
    <mergeCell ref="A29:E29"/>
    <mergeCell ref="B30:G30"/>
    <mergeCell ref="A31:B31"/>
    <mergeCell ref="A23:B23"/>
    <mergeCell ref="A24:B24"/>
    <mergeCell ref="B17:G17"/>
    <mergeCell ref="A16:E16"/>
    <mergeCell ref="A18:B18"/>
    <mergeCell ref="A19:B19"/>
    <mergeCell ref="A20:B20"/>
    <mergeCell ref="A21:B21"/>
    <mergeCell ref="A22:B22"/>
    <mergeCell ref="A13:B13"/>
    <mergeCell ref="A14:B14"/>
    <mergeCell ref="A15:B15"/>
    <mergeCell ref="A8:B8"/>
    <mergeCell ref="A9:B9"/>
    <mergeCell ref="A10:B10"/>
    <mergeCell ref="A11:B11"/>
    <mergeCell ref="A12:B12"/>
    <mergeCell ref="A38:B38"/>
    <mergeCell ref="A39:E39"/>
    <mergeCell ref="A33:B33"/>
    <mergeCell ref="A34:B34"/>
    <mergeCell ref="A35:E35"/>
    <mergeCell ref="B36:G36"/>
    <mergeCell ref="A37:B37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0A170-7EF7-4939-A409-6170D9676C1C}">
  <dimension ref="A1:G22"/>
  <sheetViews>
    <sheetView view="pageLayout" zoomScale="115" zoomScaleNormal="100" zoomScalePageLayoutView="115" workbookViewId="0">
      <selection activeCell="D17" sqref="D17"/>
    </sheetView>
  </sheetViews>
  <sheetFormatPr defaultRowHeight="15" x14ac:dyDescent="0.25"/>
  <cols>
    <col min="1" max="1" width="2.7109375" style="27" customWidth="1"/>
    <col min="2" max="2" width="2.5703125" style="27" customWidth="1"/>
    <col min="3" max="3" width="40.28515625" style="27" customWidth="1"/>
    <col min="4" max="4" width="14.140625" style="27" customWidth="1"/>
    <col min="5" max="5" width="10.85546875" style="79" customWidth="1"/>
    <col min="6" max="6" width="11" style="11" customWidth="1"/>
    <col min="7" max="7" width="17.140625" style="80" bestFit="1" customWidth="1"/>
  </cols>
  <sheetData>
    <row r="1" spans="1:7" ht="22.5" customHeight="1" x14ac:dyDescent="0.25">
      <c r="A1" s="434" t="s">
        <v>167</v>
      </c>
      <c r="B1" s="434"/>
      <c r="C1" s="434"/>
      <c r="D1" s="434"/>
      <c r="E1" s="434"/>
      <c r="F1" s="434"/>
      <c r="G1" s="434"/>
    </row>
    <row r="2" spans="1:7" ht="14.25" customHeight="1" x14ac:dyDescent="0.25">
      <c r="A2" s="435"/>
      <c r="B2" s="435"/>
      <c r="C2" s="435"/>
      <c r="D2" s="435"/>
      <c r="E2" s="435"/>
      <c r="F2" s="435"/>
      <c r="G2" s="435"/>
    </row>
    <row r="3" spans="1:7" s="12" customFormat="1" ht="23.25" customHeight="1" x14ac:dyDescent="0.25">
      <c r="A3" s="434" t="s">
        <v>22</v>
      </c>
      <c r="B3" s="434"/>
      <c r="C3" s="434"/>
      <c r="D3" s="62" t="s">
        <v>165</v>
      </c>
      <c r="E3" s="81" t="s">
        <v>166</v>
      </c>
      <c r="F3" s="60" t="s">
        <v>24</v>
      </c>
      <c r="G3" s="81" t="s">
        <v>154</v>
      </c>
    </row>
    <row r="4" spans="1:7" s="30" customFormat="1" ht="15" customHeight="1" x14ac:dyDescent="0.2">
      <c r="A4" s="64">
        <v>1</v>
      </c>
      <c r="B4" s="411" t="s">
        <v>168</v>
      </c>
      <c r="C4" s="411"/>
      <c r="D4" s="411"/>
      <c r="E4" s="411"/>
      <c r="F4" s="411"/>
      <c r="G4" s="411"/>
    </row>
    <row r="5" spans="1:7" x14ac:dyDescent="0.25">
      <c r="A5" s="436" t="s">
        <v>117</v>
      </c>
      <c r="B5" s="436"/>
      <c r="C5" s="48" t="s">
        <v>160</v>
      </c>
      <c r="D5" s="77">
        <f>1+'P10-ENCARGOS SOCIAS'!$C$51</f>
        <v>1.8088</v>
      </c>
      <c r="E5" s="50">
        <f>'P2-INSUMOS BÁSICOS'!G5</f>
        <v>2258.89</v>
      </c>
      <c r="F5" s="49">
        <f>'P2-INSUMOS BÁSICOS'!E5</f>
        <v>2</v>
      </c>
      <c r="G5" s="50">
        <f>F5*E5*D5</f>
        <v>8171.760463999999</v>
      </c>
    </row>
    <row r="6" spans="1:7" x14ac:dyDescent="0.25">
      <c r="A6" s="436" t="s">
        <v>118</v>
      </c>
      <c r="B6" s="436"/>
      <c r="C6" s="48" t="s">
        <v>161</v>
      </c>
      <c r="D6" s="77">
        <f>1+'P10-ENCARGOS SOCIAS'!$C$51</f>
        <v>1.8088</v>
      </c>
      <c r="E6" s="50">
        <f>'P2-INSUMOS BÁSICOS'!G6</f>
        <v>1485</v>
      </c>
      <c r="F6" s="49">
        <f>'P2-INSUMOS BÁSICOS'!E6</f>
        <v>25</v>
      </c>
      <c r="G6" s="50">
        <f>F6*E6*D6</f>
        <v>67151.7</v>
      </c>
    </row>
    <row r="7" spans="1:7" x14ac:dyDescent="0.25">
      <c r="A7" s="437" t="s">
        <v>170</v>
      </c>
      <c r="B7" s="437"/>
      <c r="C7" s="437"/>
      <c r="D7" s="437"/>
      <c r="E7" s="437"/>
      <c r="F7" s="437"/>
      <c r="G7" s="65">
        <f>SUM(G5:G6)</f>
        <v>75323.460464000003</v>
      </c>
    </row>
    <row r="8" spans="1:7" s="30" customFormat="1" ht="15" customHeight="1" x14ac:dyDescent="0.2">
      <c r="A8" s="64">
        <v>2</v>
      </c>
      <c r="B8" s="426" t="s">
        <v>35</v>
      </c>
      <c r="C8" s="411"/>
      <c r="D8" s="411"/>
      <c r="E8" s="411"/>
      <c r="F8" s="411"/>
      <c r="G8" s="411"/>
    </row>
    <row r="9" spans="1:7" x14ac:dyDescent="0.25">
      <c r="A9" s="385" t="s">
        <v>28</v>
      </c>
      <c r="B9" s="385"/>
      <c r="C9" s="14" t="s">
        <v>37</v>
      </c>
      <c r="D9" s="77">
        <f>1+'P10-ENCARGOS SOCIAS'!$C$51</f>
        <v>1.8088</v>
      </c>
      <c r="E9" s="39">
        <f>'P2-INSUMOS BÁSICOS'!G8</f>
        <v>8162.67</v>
      </c>
      <c r="F9" s="38">
        <v>1</v>
      </c>
      <c r="G9" s="50">
        <f>F9*E9*D9</f>
        <v>14764.637495999999</v>
      </c>
    </row>
    <row r="10" spans="1:7" x14ac:dyDescent="0.25">
      <c r="A10" s="385" t="s">
        <v>33</v>
      </c>
      <c r="B10" s="385"/>
      <c r="C10" s="14" t="s">
        <v>79</v>
      </c>
      <c r="D10" s="77">
        <f>1+'P10-ENCARGOS SOCIAS'!$C$51</f>
        <v>1.8088</v>
      </c>
      <c r="E10" s="39">
        <f>'P2-INSUMOS BÁSICOS'!G9</f>
        <v>4475.5600000000004</v>
      </c>
      <c r="F10" s="43">
        <v>1</v>
      </c>
      <c r="G10" s="50">
        <f t="shared" ref="G10:G12" si="0">F10*E10*D10</f>
        <v>8095.3929280000002</v>
      </c>
    </row>
    <row r="11" spans="1:7" x14ac:dyDescent="0.25">
      <c r="A11" s="385" t="s">
        <v>40</v>
      </c>
      <c r="B11" s="385"/>
      <c r="C11" s="14" t="s">
        <v>78</v>
      </c>
      <c r="D11" s="77">
        <f>1+'P10-ENCARGOS SOCIAS'!$C$51</f>
        <v>1.8088</v>
      </c>
      <c r="E11" s="39">
        <f>'P2-INSUMOS BÁSICOS'!G10</f>
        <v>2277</v>
      </c>
      <c r="F11" s="43">
        <v>1</v>
      </c>
      <c r="G11" s="50">
        <f t="shared" si="0"/>
        <v>4118.6376</v>
      </c>
    </row>
    <row r="12" spans="1:7" x14ac:dyDescent="0.25">
      <c r="A12" s="438" t="s">
        <v>43</v>
      </c>
      <c r="B12" s="438"/>
      <c r="C12" s="85" t="s">
        <v>77</v>
      </c>
      <c r="D12" s="77">
        <f>1+'P10-ENCARGOS SOCIAS'!$C$51</f>
        <v>1.8088</v>
      </c>
      <c r="E12" s="68">
        <f>'P2-INSUMOS BÁSICOS'!G11</f>
        <v>2424</v>
      </c>
      <c r="F12" s="84">
        <v>1</v>
      </c>
      <c r="G12" s="50">
        <f t="shared" si="0"/>
        <v>4384.5312000000004</v>
      </c>
    </row>
    <row r="13" spans="1:7" x14ac:dyDescent="0.25">
      <c r="A13" s="439" t="s">
        <v>172</v>
      </c>
      <c r="B13" s="439"/>
      <c r="C13" s="439"/>
      <c r="D13" s="439"/>
      <c r="E13" s="439"/>
      <c r="F13" s="439"/>
      <c r="G13" s="65">
        <f>SUM(G9:G12)</f>
        <v>31363.199224</v>
      </c>
    </row>
    <row r="14" spans="1:7" s="30" customFormat="1" ht="15" customHeight="1" x14ac:dyDescent="0.2">
      <c r="A14" s="64">
        <v>3</v>
      </c>
      <c r="B14" s="411" t="s">
        <v>169</v>
      </c>
      <c r="C14" s="411"/>
      <c r="D14" s="411"/>
      <c r="E14" s="411"/>
      <c r="F14" s="411"/>
      <c r="G14" s="411"/>
    </row>
    <row r="15" spans="1:7" x14ac:dyDescent="0.25">
      <c r="A15" s="54"/>
      <c r="B15" s="82" t="s">
        <v>117</v>
      </c>
      <c r="C15" s="37" t="s">
        <v>162</v>
      </c>
      <c r="D15" s="77">
        <f>1+'P10-ENCARGOS SOCIAS'!$C$51</f>
        <v>1.8088</v>
      </c>
      <c r="E15" s="39">
        <v>2040</v>
      </c>
      <c r="F15" s="38">
        <v>1</v>
      </c>
      <c r="G15" s="50">
        <f t="shared" ref="G15:G17" si="1">F15*E15*D15</f>
        <v>3689.9519999999998</v>
      </c>
    </row>
    <row r="16" spans="1:7" x14ac:dyDescent="0.25">
      <c r="A16" s="40"/>
      <c r="B16" s="78" t="s">
        <v>118</v>
      </c>
      <c r="C16" s="42" t="s">
        <v>163</v>
      </c>
      <c r="D16" s="77">
        <f>1+'P10-ENCARGOS SOCIAS'!$C$51</f>
        <v>1.8088</v>
      </c>
      <c r="E16" s="44">
        <v>2040</v>
      </c>
      <c r="F16" s="43">
        <v>1</v>
      </c>
      <c r="G16" s="50">
        <f t="shared" si="1"/>
        <v>3689.9519999999998</v>
      </c>
    </row>
    <row r="17" spans="1:7" x14ac:dyDescent="0.25">
      <c r="A17" s="46"/>
      <c r="B17" s="83" t="s">
        <v>126</v>
      </c>
      <c r="C17" s="72" t="s">
        <v>164</v>
      </c>
      <c r="D17" s="77">
        <f>1+'P10-ENCARGOS SOCIAS'!$C$51</f>
        <v>1.8088</v>
      </c>
      <c r="E17" s="73">
        <v>1360</v>
      </c>
      <c r="F17" s="84">
        <v>1</v>
      </c>
      <c r="G17" s="50">
        <f t="shared" si="1"/>
        <v>2459.9679999999998</v>
      </c>
    </row>
    <row r="18" spans="1:7" x14ac:dyDescent="0.25">
      <c r="A18" s="407" t="s">
        <v>171</v>
      </c>
      <c r="B18" s="407"/>
      <c r="C18" s="407"/>
      <c r="D18" s="407"/>
      <c r="E18" s="407"/>
      <c r="F18" s="407"/>
      <c r="G18" s="65">
        <f>SUM(G15:G17)</f>
        <v>9839.8719999999994</v>
      </c>
    </row>
    <row r="20" spans="1:7" ht="15" customHeight="1" x14ac:dyDescent="0.25">
      <c r="A20" s="432" t="s">
        <v>180</v>
      </c>
      <c r="B20" s="432"/>
      <c r="C20" s="432"/>
      <c r="D20" s="432"/>
      <c r="E20" s="432"/>
      <c r="F20" s="432"/>
      <c r="G20" s="98">
        <f>G18+G13+G7</f>
        <v>116526.531688</v>
      </c>
    </row>
    <row r="21" spans="1:7" x14ac:dyDescent="0.25">
      <c r="A21" s="433" t="s">
        <v>179</v>
      </c>
      <c r="B21" s="433"/>
      <c r="C21" s="433"/>
      <c r="D21" s="433"/>
      <c r="E21" s="433"/>
      <c r="F21" s="433"/>
      <c r="G21" s="104">
        <v>12</v>
      </c>
    </row>
    <row r="22" spans="1:7" x14ac:dyDescent="0.25">
      <c r="A22" s="432" t="s">
        <v>181</v>
      </c>
      <c r="B22" s="432"/>
      <c r="C22" s="432"/>
      <c r="D22" s="432"/>
      <c r="E22" s="432"/>
      <c r="F22" s="432"/>
      <c r="G22" s="98">
        <f>G20*G21</f>
        <v>1398318.380256</v>
      </c>
    </row>
  </sheetData>
  <mergeCells count="18">
    <mergeCell ref="A12:B12"/>
    <mergeCell ref="A13:F13"/>
    <mergeCell ref="A7:F7"/>
    <mergeCell ref="B8:G8"/>
    <mergeCell ref="A9:B9"/>
    <mergeCell ref="A10:B10"/>
    <mergeCell ref="A11:B11"/>
    <mergeCell ref="A1:G1"/>
    <mergeCell ref="A3:C3"/>
    <mergeCell ref="A2:G2"/>
    <mergeCell ref="A5:B5"/>
    <mergeCell ref="A6:B6"/>
    <mergeCell ref="B4:G4"/>
    <mergeCell ref="B14:G14"/>
    <mergeCell ref="A18:F18"/>
    <mergeCell ref="A20:F20"/>
    <mergeCell ref="A21:F21"/>
    <mergeCell ref="A22:F22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EBF02-D764-4BBD-9DFD-50D17F735111}">
  <dimension ref="A1:G40"/>
  <sheetViews>
    <sheetView view="pageLayout" zoomScale="115" zoomScaleNormal="100" zoomScalePageLayoutView="115" workbookViewId="0">
      <selection sqref="A1:G1"/>
    </sheetView>
  </sheetViews>
  <sheetFormatPr defaultRowHeight="15" x14ac:dyDescent="0.25"/>
  <cols>
    <col min="1" max="1" width="2.5703125" style="1" customWidth="1"/>
    <col min="2" max="2" width="2.85546875" style="1" customWidth="1"/>
    <col min="3" max="3" width="43.42578125" style="1" customWidth="1"/>
    <col min="4" max="4" width="15.5703125" style="2" bestFit="1" customWidth="1"/>
    <col min="5" max="5" width="8.5703125" style="87" bestFit="1" customWidth="1"/>
    <col min="6" max="6" width="10.42578125" style="1" customWidth="1"/>
    <col min="7" max="7" width="15.42578125" style="87" bestFit="1" customWidth="1"/>
  </cols>
  <sheetData>
    <row r="1" spans="1:7" ht="22.5" customHeight="1" x14ac:dyDescent="0.25">
      <c r="A1" s="441" t="s">
        <v>173</v>
      </c>
      <c r="B1" s="441"/>
      <c r="C1" s="441"/>
      <c r="D1" s="441"/>
      <c r="E1" s="441"/>
      <c r="F1" s="441"/>
      <c r="G1" s="441"/>
    </row>
    <row r="2" spans="1:7" x14ac:dyDescent="0.25">
      <c r="A2" s="442"/>
      <c r="B2" s="442"/>
      <c r="C2" s="442"/>
      <c r="D2" s="442"/>
      <c r="E2" s="442"/>
      <c r="F2" s="442"/>
      <c r="G2" s="442"/>
    </row>
    <row r="3" spans="1:7" s="30" customFormat="1" ht="22.5" customHeight="1" x14ac:dyDescent="0.2">
      <c r="A3" s="443" t="s">
        <v>22</v>
      </c>
      <c r="B3" s="443"/>
      <c r="C3" s="443"/>
      <c r="D3" s="93" t="s">
        <v>175</v>
      </c>
      <c r="E3" s="90" t="s">
        <v>94</v>
      </c>
      <c r="F3" s="91" t="s">
        <v>24</v>
      </c>
      <c r="G3" s="36" t="s">
        <v>154</v>
      </c>
    </row>
    <row r="4" spans="1:7" s="30" customFormat="1" ht="15" customHeight="1" x14ac:dyDescent="0.2">
      <c r="A4" s="88">
        <v>1</v>
      </c>
      <c r="B4" s="393" t="s">
        <v>53</v>
      </c>
      <c r="C4" s="393"/>
      <c r="D4" s="393"/>
      <c r="E4" s="393"/>
      <c r="F4" s="393"/>
      <c r="G4" s="393"/>
    </row>
    <row r="5" spans="1:7" x14ac:dyDescent="0.25">
      <c r="A5" s="385" t="s">
        <v>28</v>
      </c>
      <c r="B5" s="385"/>
      <c r="C5" s="14" t="s">
        <v>26</v>
      </c>
      <c r="D5" s="94">
        <v>1</v>
      </c>
      <c r="E5" s="28">
        <f>'P2-INSUMOS BÁSICOS'!G20</f>
        <v>480</v>
      </c>
      <c r="F5" s="16">
        <f>'P2-INSUMOS BÁSICOS'!E20</f>
        <v>27</v>
      </c>
      <c r="G5" s="28">
        <f>E5*F5*D5</f>
        <v>12960</v>
      </c>
    </row>
    <row r="6" spans="1:7" x14ac:dyDescent="0.25">
      <c r="A6" s="385" t="s">
        <v>33</v>
      </c>
      <c r="B6" s="385"/>
      <c r="C6" s="14" t="s">
        <v>35</v>
      </c>
      <c r="D6" s="94">
        <v>1</v>
      </c>
      <c r="E6" s="28">
        <f>'P2-INSUMOS BÁSICOS'!G21</f>
        <v>480</v>
      </c>
      <c r="F6" s="16">
        <f>'P2-INSUMOS BÁSICOS'!E21</f>
        <v>4</v>
      </c>
      <c r="G6" s="28">
        <f t="shared" ref="G6:G7" si="0">E6*F6*D6</f>
        <v>1920</v>
      </c>
    </row>
    <row r="7" spans="1:7" x14ac:dyDescent="0.25">
      <c r="A7" s="385" t="s">
        <v>39</v>
      </c>
      <c r="B7" s="385"/>
      <c r="C7" s="14" t="s">
        <v>47</v>
      </c>
      <c r="D7" s="94">
        <v>1</v>
      </c>
      <c r="E7" s="28">
        <f>'P2-INSUMOS BÁSICOS'!G22</f>
        <v>480</v>
      </c>
      <c r="F7" s="16">
        <f>'P2-INSUMOS BÁSICOS'!E22</f>
        <v>3</v>
      </c>
      <c r="G7" s="28">
        <f t="shared" si="0"/>
        <v>1440</v>
      </c>
    </row>
    <row r="8" spans="1:7" s="30" customFormat="1" ht="15" customHeight="1" x14ac:dyDescent="0.2">
      <c r="A8" s="440" t="s">
        <v>170</v>
      </c>
      <c r="B8" s="440"/>
      <c r="C8" s="440"/>
      <c r="D8" s="440"/>
      <c r="E8" s="440"/>
      <c r="F8" s="440"/>
      <c r="G8" s="71">
        <f>SUM(G5:G7)</f>
        <v>16320</v>
      </c>
    </row>
    <row r="9" spans="1:7" s="30" customFormat="1" ht="15" customHeight="1" x14ac:dyDescent="0.2">
      <c r="A9" s="88">
        <v>2</v>
      </c>
      <c r="B9" s="393" t="s">
        <v>54</v>
      </c>
      <c r="C9" s="393"/>
      <c r="D9" s="393"/>
      <c r="E9" s="393"/>
      <c r="F9" s="393"/>
      <c r="G9" s="393"/>
    </row>
    <row r="10" spans="1:7" x14ac:dyDescent="0.25">
      <c r="A10" s="385" t="s">
        <v>28</v>
      </c>
      <c r="B10" s="385"/>
      <c r="C10" s="14" t="s">
        <v>26</v>
      </c>
      <c r="D10" s="94">
        <v>1</v>
      </c>
      <c r="E10" s="28">
        <f>'P2-INSUMOS BÁSICOS'!G24</f>
        <v>192</v>
      </c>
      <c r="F10" s="16">
        <f>'P2-INSUMOS BÁSICOS'!E24</f>
        <v>27</v>
      </c>
      <c r="G10" s="28">
        <f t="shared" ref="G10:G12" si="1">E10*F10*D10</f>
        <v>5184</v>
      </c>
    </row>
    <row r="11" spans="1:7" x14ac:dyDescent="0.25">
      <c r="A11" s="385" t="s">
        <v>33</v>
      </c>
      <c r="B11" s="385"/>
      <c r="C11" s="14" t="s">
        <v>35</v>
      </c>
      <c r="D11" s="94">
        <v>1</v>
      </c>
      <c r="E11" s="28">
        <f>'P2-INSUMOS BÁSICOS'!G25</f>
        <v>192</v>
      </c>
      <c r="F11" s="16">
        <f>'P2-INSUMOS BÁSICOS'!E25</f>
        <v>4</v>
      </c>
      <c r="G11" s="28">
        <f t="shared" si="1"/>
        <v>768</v>
      </c>
    </row>
    <row r="12" spans="1:7" x14ac:dyDescent="0.25">
      <c r="A12" s="385" t="s">
        <v>39</v>
      </c>
      <c r="B12" s="385"/>
      <c r="C12" s="14" t="s">
        <v>47</v>
      </c>
      <c r="D12" s="94">
        <v>1</v>
      </c>
      <c r="E12" s="28">
        <f>'P2-INSUMOS BÁSICOS'!G26</f>
        <v>192</v>
      </c>
      <c r="F12" s="16">
        <f>'P2-INSUMOS BÁSICOS'!E26</f>
        <v>3</v>
      </c>
      <c r="G12" s="28">
        <f t="shared" si="1"/>
        <v>576</v>
      </c>
    </row>
    <row r="13" spans="1:7" s="30" customFormat="1" ht="15" customHeight="1" x14ac:dyDescent="0.2">
      <c r="A13" s="440" t="s">
        <v>170</v>
      </c>
      <c r="B13" s="440"/>
      <c r="C13" s="440"/>
      <c r="D13" s="440"/>
      <c r="E13" s="440"/>
      <c r="F13" s="440"/>
      <c r="G13" s="71">
        <f>SUM(G10:G12)</f>
        <v>6528</v>
      </c>
    </row>
    <row r="14" spans="1:7" s="30" customFormat="1" ht="15" customHeight="1" x14ac:dyDescent="0.2">
      <c r="A14" s="88">
        <v>3</v>
      </c>
      <c r="B14" s="393" t="s">
        <v>56</v>
      </c>
      <c r="C14" s="393"/>
      <c r="D14" s="393"/>
      <c r="E14" s="393"/>
      <c r="F14" s="393"/>
      <c r="G14" s="393"/>
    </row>
    <row r="15" spans="1:7" x14ac:dyDescent="0.25">
      <c r="A15" s="385" t="s">
        <v>28</v>
      </c>
      <c r="B15" s="385"/>
      <c r="C15" s="14" t="s">
        <v>26</v>
      </c>
      <c r="D15" s="94">
        <v>1</v>
      </c>
      <c r="E15" s="28">
        <f>'P2-INSUMOS BÁSICOS'!G28</f>
        <v>150</v>
      </c>
      <c r="F15" s="16">
        <f>'P2-INSUMOS BÁSICOS'!E28</f>
        <v>27</v>
      </c>
      <c r="G15" s="28">
        <f t="shared" ref="G15:G17" si="2">E15*F15*D15</f>
        <v>4050</v>
      </c>
    </row>
    <row r="16" spans="1:7" x14ac:dyDescent="0.25">
      <c r="A16" s="385" t="s">
        <v>33</v>
      </c>
      <c r="B16" s="385"/>
      <c r="C16" s="14" t="s">
        <v>35</v>
      </c>
      <c r="D16" s="94">
        <v>1</v>
      </c>
      <c r="E16" s="28">
        <f>'P2-INSUMOS BÁSICOS'!G29</f>
        <v>150</v>
      </c>
      <c r="F16" s="16">
        <f>'P2-INSUMOS BÁSICOS'!E29</f>
        <v>4</v>
      </c>
      <c r="G16" s="28">
        <f t="shared" si="2"/>
        <v>600</v>
      </c>
    </row>
    <row r="17" spans="1:7" x14ac:dyDescent="0.25">
      <c r="A17" s="385" t="s">
        <v>39</v>
      </c>
      <c r="B17" s="385"/>
      <c r="C17" s="14" t="s">
        <v>47</v>
      </c>
      <c r="D17" s="94">
        <v>1</v>
      </c>
      <c r="E17" s="28">
        <f>'P2-INSUMOS BÁSICOS'!G30</f>
        <v>150</v>
      </c>
      <c r="F17" s="16">
        <f>'P2-INSUMOS BÁSICOS'!E30</f>
        <v>3</v>
      </c>
      <c r="G17" s="28">
        <f t="shared" si="2"/>
        <v>450</v>
      </c>
    </row>
    <row r="18" spans="1:7" s="30" customFormat="1" ht="15" customHeight="1" x14ac:dyDescent="0.2">
      <c r="A18" s="440" t="s">
        <v>170</v>
      </c>
      <c r="B18" s="440"/>
      <c r="C18" s="440"/>
      <c r="D18" s="440"/>
      <c r="E18" s="440"/>
      <c r="F18" s="440"/>
      <c r="G18" s="71">
        <f>SUM(G15:G17)</f>
        <v>5100</v>
      </c>
    </row>
    <row r="19" spans="1:7" s="30" customFormat="1" ht="15" customHeight="1" x14ac:dyDescent="0.2">
      <c r="A19" s="88">
        <v>4</v>
      </c>
      <c r="B19" s="393" t="s">
        <v>57</v>
      </c>
      <c r="C19" s="393"/>
      <c r="D19" s="393"/>
      <c r="E19" s="393"/>
      <c r="F19" s="393"/>
      <c r="G19" s="393"/>
    </row>
    <row r="20" spans="1:7" x14ac:dyDescent="0.25">
      <c r="A20" s="385" t="s">
        <v>28</v>
      </c>
      <c r="B20" s="385"/>
      <c r="C20" s="14" t="s">
        <v>26</v>
      </c>
      <c r="D20" s="94">
        <v>1</v>
      </c>
      <c r="E20" s="28">
        <f>'P2-INSUMOS BÁSICOS'!G32</f>
        <v>45</v>
      </c>
      <c r="F20" s="16">
        <f>'P2-INSUMOS BÁSICOS'!E32</f>
        <v>27</v>
      </c>
      <c r="G20" s="28">
        <f t="shared" ref="G20:G22" si="3">E20*F20*D20</f>
        <v>1215</v>
      </c>
    </row>
    <row r="21" spans="1:7" x14ac:dyDescent="0.25">
      <c r="A21" s="385" t="s">
        <v>33</v>
      </c>
      <c r="B21" s="385"/>
      <c r="C21" s="14" t="s">
        <v>35</v>
      </c>
      <c r="D21" s="94">
        <v>1</v>
      </c>
      <c r="E21" s="28">
        <f>'P2-INSUMOS BÁSICOS'!G33</f>
        <v>45</v>
      </c>
      <c r="F21" s="16">
        <f>'P2-INSUMOS BÁSICOS'!E33</f>
        <v>4</v>
      </c>
      <c r="G21" s="28">
        <f t="shared" si="3"/>
        <v>180</v>
      </c>
    </row>
    <row r="22" spans="1:7" x14ac:dyDescent="0.25">
      <c r="A22" s="438" t="s">
        <v>39</v>
      </c>
      <c r="B22" s="438"/>
      <c r="C22" s="14" t="s">
        <v>47</v>
      </c>
      <c r="D22" s="94">
        <v>1</v>
      </c>
      <c r="E22" s="28">
        <f>'P2-INSUMOS BÁSICOS'!G34</f>
        <v>45</v>
      </c>
      <c r="F22" s="16">
        <f>'P2-INSUMOS BÁSICOS'!E34</f>
        <v>3</v>
      </c>
      <c r="G22" s="28">
        <f t="shared" si="3"/>
        <v>135</v>
      </c>
    </row>
    <row r="23" spans="1:7" x14ac:dyDescent="0.25">
      <c r="A23" s="440" t="s">
        <v>170</v>
      </c>
      <c r="B23" s="440"/>
      <c r="C23" s="440"/>
      <c r="D23" s="440"/>
      <c r="E23" s="440"/>
      <c r="F23" s="440"/>
      <c r="G23" s="71">
        <f>SUM(G20:G22)</f>
        <v>1530</v>
      </c>
    </row>
    <row r="24" spans="1:7" s="30" customFormat="1" ht="15" customHeight="1" x14ac:dyDescent="0.2">
      <c r="A24" s="88">
        <v>5</v>
      </c>
      <c r="B24" s="393" t="s">
        <v>61</v>
      </c>
      <c r="C24" s="393"/>
      <c r="D24" s="393"/>
      <c r="E24" s="393"/>
      <c r="F24" s="393"/>
      <c r="G24" s="393"/>
    </row>
    <row r="25" spans="1:7" x14ac:dyDescent="0.25">
      <c r="A25" s="385" t="s">
        <v>28</v>
      </c>
      <c r="B25" s="385"/>
      <c r="C25" s="14" t="s">
        <v>62</v>
      </c>
      <c r="D25" s="97">
        <f>'P2-INSUMOS BÁSICOS'!F39/12</f>
        <v>0.33333333333333331</v>
      </c>
      <c r="E25" s="28">
        <f>'P2-INSUMOS BÁSICOS'!G39</f>
        <v>80</v>
      </c>
      <c r="F25" s="16">
        <f>'P2-INSUMOS BÁSICOS'!E39</f>
        <v>34</v>
      </c>
      <c r="G25" s="28">
        <f>E25*F25*D25</f>
        <v>906.66666666666663</v>
      </c>
    </row>
    <row r="26" spans="1:7" x14ac:dyDescent="0.25">
      <c r="A26" s="385" t="s">
        <v>33</v>
      </c>
      <c r="B26" s="385"/>
      <c r="C26" s="14" t="s">
        <v>64</v>
      </c>
      <c r="D26" s="97">
        <f>'P2-INSUMOS BÁSICOS'!F40/12</f>
        <v>0.33333333333333331</v>
      </c>
      <c r="E26" s="28">
        <f>'P2-INSUMOS BÁSICOS'!G40</f>
        <v>50</v>
      </c>
      <c r="F26" s="16">
        <f>'P2-INSUMOS BÁSICOS'!E40</f>
        <v>34</v>
      </c>
      <c r="G26" s="28">
        <f t="shared" ref="G26:G32" si="4">E26*F26*D26</f>
        <v>566.66666666666663</v>
      </c>
    </row>
    <row r="27" spans="1:7" x14ac:dyDescent="0.25">
      <c r="A27" s="385" t="s">
        <v>39</v>
      </c>
      <c r="B27" s="385"/>
      <c r="C27" s="14" t="s">
        <v>65</v>
      </c>
      <c r="D27" s="97">
        <f>'P2-INSUMOS BÁSICOS'!F41/12</f>
        <v>0.16666666666666666</v>
      </c>
      <c r="E27" s="28">
        <f>'P2-INSUMOS BÁSICOS'!G41</f>
        <v>100</v>
      </c>
      <c r="F27" s="16">
        <f>'P2-INSUMOS BÁSICOS'!E41</f>
        <v>34</v>
      </c>
      <c r="G27" s="28">
        <f t="shared" si="4"/>
        <v>566.66666666666663</v>
      </c>
    </row>
    <row r="28" spans="1:7" x14ac:dyDescent="0.25">
      <c r="A28" s="385" t="s">
        <v>40</v>
      </c>
      <c r="B28" s="385"/>
      <c r="C28" s="14" t="s">
        <v>66</v>
      </c>
      <c r="D28" s="97">
        <f>'P2-INSUMOS BÁSICOS'!F42/12</f>
        <v>0.16666666666666666</v>
      </c>
      <c r="E28" s="28">
        <f>'P2-INSUMOS BÁSICOS'!G42</f>
        <v>30</v>
      </c>
      <c r="F28" s="16">
        <f>'P2-INSUMOS BÁSICOS'!E42</f>
        <v>27</v>
      </c>
      <c r="G28" s="28">
        <f t="shared" si="4"/>
        <v>135</v>
      </c>
    </row>
    <row r="29" spans="1:7" x14ac:dyDescent="0.25">
      <c r="A29" s="385" t="s">
        <v>41</v>
      </c>
      <c r="B29" s="385"/>
      <c r="C29" s="14" t="s">
        <v>67</v>
      </c>
      <c r="D29" s="97">
        <f>'P2-INSUMOS BÁSICOS'!F43/12</f>
        <v>0.16666666666666666</v>
      </c>
      <c r="E29" s="28">
        <f>'P2-INSUMOS BÁSICOS'!G43</f>
        <v>100</v>
      </c>
      <c r="F29" s="16">
        <f>'P2-INSUMOS BÁSICOS'!E43</f>
        <v>27</v>
      </c>
      <c r="G29" s="28">
        <f t="shared" si="4"/>
        <v>450</v>
      </c>
    </row>
    <row r="30" spans="1:7" x14ac:dyDescent="0.25">
      <c r="A30" s="385" t="s">
        <v>42</v>
      </c>
      <c r="B30" s="385"/>
      <c r="C30" s="14" t="s">
        <v>68</v>
      </c>
      <c r="D30" s="97">
        <f>'P2-INSUMOS BÁSICOS'!F44/12</f>
        <v>0.33333333333333331</v>
      </c>
      <c r="E30" s="28">
        <f>'P2-INSUMOS BÁSICOS'!G44</f>
        <v>65</v>
      </c>
      <c r="F30" s="16">
        <f>'P2-INSUMOS BÁSICOS'!E44</f>
        <v>27</v>
      </c>
      <c r="G30" s="28">
        <f t="shared" si="4"/>
        <v>585</v>
      </c>
    </row>
    <row r="31" spans="1:7" x14ac:dyDescent="0.25">
      <c r="A31" s="385" t="s">
        <v>43</v>
      </c>
      <c r="B31" s="385"/>
      <c r="C31" s="14" t="s">
        <v>69</v>
      </c>
      <c r="D31" s="97">
        <f>'P2-INSUMOS BÁSICOS'!F45/12</f>
        <v>0.33333333333333331</v>
      </c>
      <c r="E31" s="28">
        <f>'P2-INSUMOS BÁSICOS'!G45</f>
        <v>15</v>
      </c>
      <c r="F31" s="16">
        <f>'P2-INSUMOS BÁSICOS'!E45</f>
        <v>34</v>
      </c>
      <c r="G31" s="28">
        <f t="shared" si="4"/>
        <v>170</v>
      </c>
    </row>
    <row r="32" spans="1:7" x14ac:dyDescent="0.25">
      <c r="A32" s="385" t="s">
        <v>70</v>
      </c>
      <c r="B32" s="385"/>
      <c r="C32" s="14" t="s">
        <v>71</v>
      </c>
      <c r="D32" s="97">
        <f>'P2-INSUMOS BÁSICOS'!F46/12</f>
        <v>8.3333333333333329E-2</v>
      </c>
      <c r="E32" s="28">
        <f>'P2-INSUMOS BÁSICOS'!G46</f>
        <v>150</v>
      </c>
      <c r="F32" s="16">
        <f>'P2-INSUMOS BÁSICOS'!E46</f>
        <v>34</v>
      </c>
      <c r="G32" s="28">
        <f t="shared" si="4"/>
        <v>425</v>
      </c>
    </row>
    <row r="33" spans="1:7" x14ac:dyDescent="0.25">
      <c r="A33" s="440" t="s">
        <v>170</v>
      </c>
      <c r="B33" s="440"/>
      <c r="C33" s="440"/>
      <c r="D33" s="440"/>
      <c r="E33" s="440"/>
      <c r="F33" s="440"/>
      <c r="G33" s="71">
        <f>SUM(G25:G32)</f>
        <v>3805</v>
      </c>
    </row>
    <row r="34" spans="1:7" s="30" customFormat="1" ht="22.5" customHeight="1" x14ac:dyDescent="0.2">
      <c r="A34" s="88">
        <v>6</v>
      </c>
      <c r="B34" s="393" t="s">
        <v>72</v>
      </c>
      <c r="C34" s="393"/>
      <c r="D34" s="393"/>
      <c r="E34" s="393"/>
      <c r="F34" s="393"/>
      <c r="G34" s="393"/>
    </row>
    <row r="35" spans="1:7" x14ac:dyDescent="0.25">
      <c r="A35" s="385" t="s">
        <v>28</v>
      </c>
      <c r="B35" s="385"/>
      <c r="C35" s="14" t="s">
        <v>73</v>
      </c>
      <c r="D35" s="96">
        <f>'P2-INSUMOS BÁSICOS'!F48/12</f>
        <v>1</v>
      </c>
      <c r="E35" s="28">
        <f>'P2-INSUMOS BÁSICOS'!G48</f>
        <v>30</v>
      </c>
      <c r="F35" s="16">
        <f>'P2-INSUMOS BÁSICOS'!E48</f>
        <v>27</v>
      </c>
      <c r="G35" s="28">
        <v>180</v>
      </c>
    </row>
    <row r="36" spans="1:7" x14ac:dyDescent="0.25">
      <c r="A36" s="440" t="s">
        <v>170</v>
      </c>
      <c r="B36" s="440"/>
      <c r="C36" s="440"/>
      <c r="D36" s="440"/>
      <c r="E36" s="440"/>
      <c r="F36" s="440"/>
      <c r="G36" s="71">
        <v>180</v>
      </c>
    </row>
    <row r="38" spans="1:7" x14ac:dyDescent="0.25">
      <c r="A38" s="432" t="s">
        <v>176</v>
      </c>
      <c r="B38" s="432"/>
      <c r="C38" s="432"/>
      <c r="D38" s="432"/>
      <c r="E38" s="432"/>
      <c r="F38" s="432"/>
      <c r="G38" s="98">
        <f>G36+G33+G23+G18+G13+G8</f>
        <v>33463</v>
      </c>
    </row>
    <row r="39" spans="1:7" x14ac:dyDescent="0.25">
      <c r="A39" s="433" t="s">
        <v>179</v>
      </c>
      <c r="B39" s="433"/>
      <c r="C39" s="433"/>
      <c r="D39" s="433"/>
      <c r="E39" s="433"/>
      <c r="F39" s="433"/>
      <c r="G39" s="104">
        <v>12</v>
      </c>
    </row>
    <row r="40" spans="1:7" x14ac:dyDescent="0.25">
      <c r="A40" s="432" t="s">
        <v>182</v>
      </c>
      <c r="B40" s="432"/>
      <c r="C40" s="432"/>
      <c r="D40" s="432"/>
      <c r="E40" s="432"/>
      <c r="F40" s="432"/>
      <c r="G40" s="98">
        <f>G38*G39</f>
        <v>401556</v>
      </c>
    </row>
  </sheetData>
  <mergeCells count="39">
    <mergeCell ref="A1:G1"/>
    <mergeCell ref="A2:G2"/>
    <mergeCell ref="A3:C3"/>
    <mergeCell ref="A15:B15"/>
    <mergeCell ref="A13:F13"/>
    <mergeCell ref="A8:F8"/>
    <mergeCell ref="B4:G4"/>
    <mergeCell ref="B9:G9"/>
    <mergeCell ref="B14:G14"/>
    <mergeCell ref="A5:B5"/>
    <mergeCell ref="A6:B6"/>
    <mergeCell ref="A7:B7"/>
    <mergeCell ref="A10:B10"/>
    <mergeCell ref="A11:B11"/>
    <mergeCell ref="A12:B12"/>
    <mergeCell ref="A30:B30"/>
    <mergeCell ref="A16:B16"/>
    <mergeCell ref="A17:B17"/>
    <mergeCell ref="A20:B20"/>
    <mergeCell ref="A21:B21"/>
    <mergeCell ref="A22:B22"/>
    <mergeCell ref="A23:F23"/>
    <mergeCell ref="A18:F18"/>
    <mergeCell ref="B19:G19"/>
    <mergeCell ref="B24:G24"/>
    <mergeCell ref="A25:B25"/>
    <mergeCell ref="A26:B26"/>
    <mergeCell ref="A27:B27"/>
    <mergeCell ref="A28:B28"/>
    <mergeCell ref="A29:B29"/>
    <mergeCell ref="A40:F40"/>
    <mergeCell ref="A31:B31"/>
    <mergeCell ref="A32:B32"/>
    <mergeCell ref="B34:G34"/>
    <mergeCell ref="A35:B35"/>
    <mergeCell ref="A38:F38"/>
    <mergeCell ref="A39:F39"/>
    <mergeCell ref="A33:F33"/>
    <mergeCell ref="A36:F36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22FBE-E833-40B0-8EBE-97A420B3916D}">
  <dimension ref="A1:G49"/>
  <sheetViews>
    <sheetView view="pageLayout" topLeftCell="A22" zoomScale="115" zoomScaleNormal="100" zoomScalePageLayoutView="115" workbookViewId="0">
      <selection activeCell="G44" sqref="G44"/>
    </sheetView>
  </sheetViews>
  <sheetFormatPr defaultRowHeight="15" x14ac:dyDescent="0.25"/>
  <cols>
    <col min="1" max="2" width="2.7109375" style="27" customWidth="1"/>
    <col min="3" max="3" width="52.140625" style="27" customWidth="1"/>
    <col min="4" max="4" width="10.42578125" style="11" bestFit="1" customWidth="1"/>
    <col min="5" max="5" width="9.85546875" style="79" bestFit="1" customWidth="1"/>
    <col min="6" max="7" width="9.140625" style="27"/>
  </cols>
  <sheetData>
    <row r="1" spans="1:7" s="30" customFormat="1" ht="22.5" customHeight="1" x14ac:dyDescent="0.2">
      <c r="A1" s="449" t="s">
        <v>177</v>
      </c>
      <c r="B1" s="450"/>
      <c r="C1" s="450"/>
      <c r="D1" s="450"/>
      <c r="E1" s="450"/>
      <c r="F1" s="450"/>
      <c r="G1" s="451"/>
    </row>
    <row r="2" spans="1:7" x14ac:dyDescent="0.25">
      <c r="A2" s="455"/>
      <c r="B2" s="456"/>
      <c r="C2" s="456"/>
      <c r="D2" s="456"/>
      <c r="E2" s="456"/>
      <c r="F2" s="456"/>
      <c r="G2" s="457"/>
    </row>
    <row r="3" spans="1:7" s="58" customFormat="1" ht="15" customHeight="1" x14ac:dyDescent="0.2">
      <c r="A3" s="452" t="s">
        <v>22</v>
      </c>
      <c r="B3" s="453"/>
      <c r="C3" s="454"/>
      <c r="D3" s="112" t="s">
        <v>24</v>
      </c>
      <c r="E3" s="113" t="s">
        <v>94</v>
      </c>
      <c r="F3" s="114" t="s">
        <v>23</v>
      </c>
      <c r="G3" s="112" t="s">
        <v>178</v>
      </c>
    </row>
    <row r="4" spans="1:7" s="30" customFormat="1" ht="15" customHeight="1" x14ac:dyDescent="0.2">
      <c r="A4" s="88">
        <v>1</v>
      </c>
      <c r="B4" s="393" t="s">
        <v>82</v>
      </c>
      <c r="C4" s="393"/>
      <c r="D4" s="393"/>
      <c r="E4" s="393"/>
      <c r="F4" s="393"/>
      <c r="G4" s="393"/>
    </row>
    <row r="5" spans="1:7" x14ac:dyDescent="0.25">
      <c r="A5" s="445" t="s">
        <v>28</v>
      </c>
      <c r="B5" s="446"/>
      <c r="C5" s="14" t="str">
        <f>'P2-INSUMOS BÁSICOS'!C56:D56</f>
        <v>Aluguel de Instalações, Venda e Comercial</v>
      </c>
      <c r="D5" s="94">
        <v>1</v>
      </c>
      <c r="E5" s="110">
        <f>'P2-INSUMOS BÁSICOS'!G56</f>
        <v>4000</v>
      </c>
      <c r="F5" s="15" t="s">
        <v>85</v>
      </c>
      <c r="G5" s="111">
        <f>D5*E5</f>
        <v>4000</v>
      </c>
    </row>
    <row r="6" spans="1:7" x14ac:dyDescent="0.25">
      <c r="A6" s="445" t="s">
        <v>33</v>
      </c>
      <c r="B6" s="446"/>
      <c r="C6" s="14" t="str">
        <f>'P2-INSUMOS BÁSICOS'!C57:D57</f>
        <v>Telefone Fixo + Internet</v>
      </c>
      <c r="D6" s="94">
        <v>1</v>
      </c>
      <c r="E6" s="110">
        <f>'P2-INSUMOS BÁSICOS'!G57</f>
        <v>280</v>
      </c>
      <c r="F6" s="15" t="s">
        <v>85</v>
      </c>
      <c r="G6" s="111">
        <f t="shared" ref="G6:G14" si="0">D6*E6</f>
        <v>280</v>
      </c>
    </row>
    <row r="7" spans="1:7" x14ac:dyDescent="0.25">
      <c r="A7" s="445" t="s">
        <v>39</v>
      </c>
      <c r="B7" s="446"/>
      <c r="C7" s="14" t="str">
        <f>'P2-INSUMOS BÁSICOS'!C58:D58</f>
        <v>Internet (P.O.S - Chip)</v>
      </c>
      <c r="D7" s="96">
        <f>'P2-INSUMOS BÁSICOS'!E20</f>
        <v>27</v>
      </c>
      <c r="E7" s="110">
        <f>'P2-INSUMOS BÁSICOS'!G58</f>
        <v>35</v>
      </c>
      <c r="F7" s="15" t="s">
        <v>85</v>
      </c>
      <c r="G7" s="111">
        <f t="shared" si="0"/>
        <v>945</v>
      </c>
    </row>
    <row r="8" spans="1:7" x14ac:dyDescent="0.25">
      <c r="A8" s="445" t="s">
        <v>40</v>
      </c>
      <c r="B8" s="446"/>
      <c r="C8" s="14" t="str">
        <f>'P2-INSUMOS BÁSICOS'!C59:D59</f>
        <v>Energia Elétrica</v>
      </c>
      <c r="D8" s="94">
        <v>1</v>
      </c>
      <c r="E8" s="110">
        <f>'P2-INSUMOS BÁSICOS'!G59</f>
        <v>1200</v>
      </c>
      <c r="F8" s="15" t="s">
        <v>85</v>
      </c>
      <c r="G8" s="111">
        <f t="shared" si="0"/>
        <v>1200</v>
      </c>
    </row>
    <row r="9" spans="1:7" x14ac:dyDescent="0.25">
      <c r="A9" s="445" t="s">
        <v>41</v>
      </c>
      <c r="B9" s="446"/>
      <c r="C9" s="14" t="str">
        <f>'P2-INSUMOS BÁSICOS'!C60:D60</f>
        <v>Água e Esgoto</v>
      </c>
      <c r="D9" s="94">
        <v>1</v>
      </c>
      <c r="E9" s="110">
        <v>250</v>
      </c>
      <c r="F9" s="15" t="s">
        <v>85</v>
      </c>
      <c r="G9" s="111">
        <f t="shared" si="0"/>
        <v>250</v>
      </c>
    </row>
    <row r="10" spans="1:7" x14ac:dyDescent="0.25">
      <c r="A10" s="445" t="s">
        <v>42</v>
      </c>
      <c r="B10" s="446"/>
      <c r="C10" s="14" t="str">
        <f>'P2-INSUMOS BÁSICOS'!C61:D61</f>
        <v>Propaganda e Publicidade</v>
      </c>
      <c r="D10" s="94">
        <v>1</v>
      </c>
      <c r="E10" s="110">
        <f>'P2-INSUMOS BÁSICOS'!G61</f>
        <v>2500</v>
      </c>
      <c r="F10" s="15" t="s">
        <v>85</v>
      </c>
      <c r="G10" s="111">
        <f t="shared" si="0"/>
        <v>2500</v>
      </c>
    </row>
    <row r="11" spans="1:7" x14ac:dyDescent="0.25">
      <c r="A11" s="445" t="s">
        <v>43</v>
      </c>
      <c r="B11" s="446"/>
      <c r="C11" s="14" t="str">
        <f>'P2-INSUMOS BÁSICOS'!C62:D62</f>
        <v>Seguro Patrimonial</v>
      </c>
      <c r="D11" s="94">
        <v>1</v>
      </c>
      <c r="E11" s="110">
        <f>'P2-INSUMOS BÁSICOS'!G62</f>
        <v>500</v>
      </c>
      <c r="F11" s="15" t="s">
        <v>85</v>
      </c>
      <c r="G11" s="111">
        <f t="shared" si="0"/>
        <v>500</v>
      </c>
    </row>
    <row r="12" spans="1:7" x14ac:dyDescent="0.25">
      <c r="A12" s="445" t="s">
        <v>70</v>
      </c>
      <c r="B12" s="446"/>
      <c r="C12" s="14" t="str">
        <f>'P2-INSUMOS BÁSICOS'!C63:D63</f>
        <v>Material de Expediente (bobina, etc.)</v>
      </c>
      <c r="D12" s="94">
        <v>1</v>
      </c>
      <c r="E12" s="110">
        <f>'P2-INSUMOS BÁSICOS'!G63</f>
        <v>300</v>
      </c>
      <c r="F12" s="15" t="s">
        <v>85</v>
      </c>
      <c r="G12" s="111">
        <f t="shared" si="0"/>
        <v>300</v>
      </c>
    </row>
    <row r="13" spans="1:7" x14ac:dyDescent="0.25">
      <c r="A13" s="445" t="s">
        <v>83</v>
      </c>
      <c r="B13" s="446"/>
      <c r="C13" s="14" t="str">
        <f>'P2-INSUMOS BÁSICOS'!C64:D64</f>
        <v>Material de Limpeza e Conservação</v>
      </c>
      <c r="D13" s="94">
        <v>1</v>
      </c>
      <c r="E13" s="110">
        <f>'P2-INSUMOS BÁSICOS'!G64</f>
        <v>300</v>
      </c>
      <c r="F13" s="15" t="s">
        <v>85</v>
      </c>
      <c r="G13" s="111">
        <f t="shared" si="0"/>
        <v>300</v>
      </c>
    </row>
    <row r="14" spans="1:7" x14ac:dyDescent="0.25">
      <c r="A14" s="445" t="s">
        <v>143</v>
      </c>
      <c r="B14" s="446"/>
      <c r="C14" s="14" t="str">
        <f>'P2-INSUMOS BÁSICOS'!C65:D65</f>
        <v>Outras despesas</v>
      </c>
      <c r="D14" s="94">
        <v>1</v>
      </c>
      <c r="E14" s="110">
        <f>'P2-INSUMOS BÁSICOS'!G65</f>
        <v>1000</v>
      </c>
      <c r="F14" s="15" t="s">
        <v>85</v>
      </c>
      <c r="G14" s="111">
        <f t="shared" si="0"/>
        <v>1000</v>
      </c>
    </row>
    <row r="15" spans="1:7" x14ac:dyDescent="0.25">
      <c r="A15" s="447"/>
      <c r="B15" s="447"/>
      <c r="C15" s="447"/>
      <c r="D15" s="447"/>
      <c r="E15" s="447"/>
      <c r="F15" s="447"/>
      <c r="G15" s="447"/>
    </row>
    <row r="16" spans="1:7" x14ac:dyDescent="0.25">
      <c r="A16" s="408" t="s">
        <v>186</v>
      </c>
      <c r="B16" s="408"/>
      <c r="C16" s="408"/>
      <c r="D16" s="408"/>
      <c r="E16" s="408"/>
      <c r="F16" s="408"/>
      <c r="G16" s="108">
        <f>SUM(G5:G14)</f>
        <v>11275</v>
      </c>
    </row>
    <row r="17" spans="1:7" x14ac:dyDescent="0.25">
      <c r="A17" s="444" t="s">
        <v>179</v>
      </c>
      <c r="B17" s="444"/>
      <c r="C17" s="444"/>
      <c r="D17" s="444"/>
      <c r="E17" s="444"/>
      <c r="F17" s="444"/>
      <c r="G17" s="109">
        <v>12</v>
      </c>
    </row>
    <row r="18" spans="1:7" ht="15" customHeight="1" x14ac:dyDescent="0.25">
      <c r="A18" s="408" t="s">
        <v>187</v>
      </c>
      <c r="B18" s="408"/>
      <c r="C18" s="408"/>
      <c r="D18" s="408"/>
      <c r="E18" s="408"/>
      <c r="F18" s="408"/>
      <c r="G18" s="108">
        <f>G16*G17</f>
        <v>135300</v>
      </c>
    </row>
    <row r="19" spans="1:7" x14ac:dyDescent="0.25">
      <c r="A19" s="448"/>
      <c r="B19" s="448"/>
      <c r="C19" s="448"/>
      <c r="D19" s="448"/>
      <c r="E19" s="448"/>
      <c r="F19" s="448"/>
      <c r="G19" s="448"/>
    </row>
    <row r="20" spans="1:7" s="30" customFormat="1" ht="15" customHeight="1" x14ac:dyDescent="0.2">
      <c r="A20" s="88">
        <v>2</v>
      </c>
      <c r="B20" s="393" t="s">
        <v>95</v>
      </c>
      <c r="C20" s="393"/>
      <c r="D20" s="393"/>
      <c r="E20" s="393"/>
      <c r="F20" s="393"/>
      <c r="G20" s="393"/>
    </row>
    <row r="21" spans="1:7" x14ac:dyDescent="0.25">
      <c r="A21" s="409" t="s">
        <v>28</v>
      </c>
      <c r="B21" s="409"/>
      <c r="C21" s="14" t="str">
        <f>'P2-INSUMOS BÁSICOS'!C67:D67</f>
        <v>Honorários Advocatícios</v>
      </c>
      <c r="D21" s="94">
        <v>1</v>
      </c>
      <c r="E21" s="110">
        <f>'P2-INSUMOS BÁSICOS'!G67</f>
        <v>6000</v>
      </c>
      <c r="F21" s="15" t="s">
        <v>85</v>
      </c>
      <c r="G21" s="111">
        <f>D21*E21</f>
        <v>6000</v>
      </c>
    </row>
    <row r="22" spans="1:7" x14ac:dyDescent="0.25">
      <c r="A22" s="409" t="s">
        <v>33</v>
      </c>
      <c r="B22" s="409"/>
      <c r="C22" s="14" t="str">
        <f>'P2-INSUMOS BÁSICOS'!C68:D68</f>
        <v>Honorários Contábeis</v>
      </c>
      <c r="D22" s="94">
        <v>1</v>
      </c>
      <c r="E22" s="110">
        <f>'P2-INSUMOS BÁSICOS'!G68</f>
        <v>3000</v>
      </c>
      <c r="F22" s="15" t="s">
        <v>85</v>
      </c>
      <c r="G22" s="111">
        <f t="shared" ref="G22:G26" si="1">D22*E22</f>
        <v>3000</v>
      </c>
    </row>
    <row r="23" spans="1:7" x14ac:dyDescent="0.25">
      <c r="A23" s="409" t="s">
        <v>39</v>
      </c>
      <c r="B23" s="409"/>
      <c r="C23" s="14" t="str">
        <f>'P2-INSUMOS BÁSICOS'!C69:D69</f>
        <v>Mão-de-obra especializada</v>
      </c>
      <c r="D23" s="94">
        <v>1</v>
      </c>
      <c r="E23" s="110">
        <f>'P2-INSUMOS BÁSICOS'!G69</f>
        <v>1000</v>
      </c>
      <c r="F23" s="15" t="s">
        <v>85</v>
      </c>
      <c r="G23" s="111">
        <f t="shared" si="1"/>
        <v>1000</v>
      </c>
    </row>
    <row r="24" spans="1:7" x14ac:dyDescent="0.25">
      <c r="A24" s="409" t="s">
        <v>40</v>
      </c>
      <c r="B24" s="409"/>
      <c r="C24" s="14" t="str">
        <f>'P2-INSUMOS BÁSICOS'!C70:D70</f>
        <v>Exames médico - Admissional e Dimensional</v>
      </c>
      <c r="D24" s="94">
        <v>1</v>
      </c>
      <c r="E24" s="110">
        <f>'P2-INSUMOS BÁSICOS'!G70</f>
        <v>500</v>
      </c>
      <c r="F24" s="15" t="s">
        <v>85</v>
      </c>
      <c r="G24" s="111">
        <f t="shared" si="1"/>
        <v>500</v>
      </c>
    </row>
    <row r="25" spans="1:7" x14ac:dyDescent="0.25">
      <c r="A25" s="409" t="s">
        <v>41</v>
      </c>
      <c r="B25" s="409"/>
      <c r="C25" s="14" t="str">
        <f>'P2-INSUMOS BÁSICOS'!C71:D71</f>
        <v>Laudo de segurança do trabalho</v>
      </c>
      <c r="D25" s="94">
        <f>1/12</f>
        <v>8.3333333333333329E-2</v>
      </c>
      <c r="E25" s="110">
        <f>'P2-INSUMOS BÁSICOS'!G71</f>
        <v>750</v>
      </c>
      <c r="F25" s="15" t="s">
        <v>85</v>
      </c>
      <c r="G25" s="111">
        <f t="shared" si="1"/>
        <v>62.5</v>
      </c>
    </row>
    <row r="26" spans="1:7" x14ac:dyDescent="0.25">
      <c r="A26" s="445" t="s">
        <v>42</v>
      </c>
      <c r="B26" s="446"/>
      <c r="C26" s="14" t="str">
        <f>'P2-INSUMOS BÁSICOS'!C72:D72</f>
        <v>Vigilância Patrimonial</v>
      </c>
      <c r="D26" s="94">
        <v>1</v>
      </c>
      <c r="E26" s="110">
        <f>'P2-INSUMOS BÁSICOS'!G72</f>
        <v>500</v>
      </c>
      <c r="F26" s="15" t="s">
        <v>85</v>
      </c>
      <c r="G26" s="111">
        <f t="shared" si="1"/>
        <v>500</v>
      </c>
    </row>
    <row r="27" spans="1:7" x14ac:dyDescent="0.25">
      <c r="A27" s="447"/>
      <c r="B27" s="447"/>
      <c r="C27" s="447"/>
      <c r="D27" s="447"/>
      <c r="E27" s="447"/>
      <c r="F27" s="447"/>
      <c r="G27" s="447"/>
    </row>
    <row r="28" spans="1:7" x14ac:dyDescent="0.25">
      <c r="A28" s="407" t="s">
        <v>184</v>
      </c>
      <c r="B28" s="407"/>
      <c r="C28" s="407"/>
      <c r="D28" s="407"/>
      <c r="E28" s="407"/>
      <c r="F28" s="407"/>
      <c r="G28" s="108">
        <f>SUM(G21:G26)</f>
        <v>11062.5</v>
      </c>
    </row>
    <row r="29" spans="1:7" x14ac:dyDescent="0.25">
      <c r="A29" s="444" t="s">
        <v>179</v>
      </c>
      <c r="B29" s="444"/>
      <c r="C29" s="444"/>
      <c r="D29" s="444"/>
      <c r="E29" s="444"/>
      <c r="F29" s="444"/>
      <c r="G29" s="109">
        <v>12</v>
      </c>
    </row>
    <row r="30" spans="1:7" x14ac:dyDescent="0.25">
      <c r="A30" s="407" t="s">
        <v>185</v>
      </c>
      <c r="B30" s="407"/>
      <c r="C30" s="407"/>
      <c r="D30" s="407"/>
      <c r="E30" s="407"/>
      <c r="F30" s="407"/>
      <c r="G30" s="108">
        <f>G28*G29</f>
        <v>132750</v>
      </c>
    </row>
    <row r="31" spans="1:7" x14ac:dyDescent="0.25">
      <c r="A31" s="447"/>
      <c r="B31" s="447"/>
      <c r="C31" s="447"/>
      <c r="D31" s="447"/>
      <c r="E31" s="447"/>
      <c r="F31" s="447"/>
      <c r="G31" s="447"/>
    </row>
    <row r="32" spans="1:7" s="30" customFormat="1" ht="15" customHeight="1" x14ac:dyDescent="0.2">
      <c r="A32" s="88">
        <v>3</v>
      </c>
      <c r="B32" s="393" t="s">
        <v>102</v>
      </c>
      <c r="C32" s="393"/>
      <c r="D32" s="393"/>
      <c r="E32" s="393"/>
      <c r="F32" s="393"/>
      <c r="G32" s="393"/>
    </row>
    <row r="33" spans="1:7" x14ac:dyDescent="0.25">
      <c r="A33" s="409" t="s">
        <v>28</v>
      </c>
      <c r="B33" s="409"/>
      <c r="C33" s="14" t="str">
        <f>'P2-INSUMOS BÁSICOS'!C74:D74</f>
        <v>Manutenção de Equipamentos e Hardware</v>
      </c>
      <c r="D33" s="94">
        <v>1</v>
      </c>
      <c r="E33" s="110">
        <f>'P2-INSUMOS BÁSICOS'!G74</f>
        <v>750</v>
      </c>
      <c r="F33" s="15" t="s">
        <v>85</v>
      </c>
      <c r="G33" s="111">
        <f>D33*E33</f>
        <v>750</v>
      </c>
    </row>
    <row r="34" spans="1:7" x14ac:dyDescent="0.25">
      <c r="A34" s="409" t="s">
        <v>33</v>
      </c>
      <c r="B34" s="409"/>
      <c r="C34" s="14" t="str">
        <f>'P2-INSUMOS BÁSICOS'!C75:D75</f>
        <v>Manutenção Software</v>
      </c>
      <c r="D34" s="94">
        <v>1</v>
      </c>
      <c r="E34" s="110">
        <f>'P2-INSUMOS BÁSICOS'!G75</f>
        <v>2500</v>
      </c>
      <c r="F34" s="15" t="s">
        <v>85</v>
      </c>
      <c r="G34" s="111">
        <f t="shared" ref="G34:G41" si="2">D34*E34</f>
        <v>2500</v>
      </c>
    </row>
    <row r="35" spans="1:7" x14ac:dyDescent="0.25">
      <c r="A35" s="409" t="s">
        <v>39</v>
      </c>
      <c r="B35" s="409"/>
      <c r="C35" s="14" t="str">
        <f>'P2-INSUMOS BÁSICOS'!C76:D76</f>
        <v>Manutenção Infraestrutura de TI</v>
      </c>
      <c r="D35" s="94">
        <v>1</v>
      </c>
      <c r="E35" s="110">
        <f>'P2-INSUMOS BÁSICOS'!G76</f>
        <v>500</v>
      </c>
      <c r="F35" s="15" t="s">
        <v>85</v>
      </c>
      <c r="G35" s="111">
        <f t="shared" si="2"/>
        <v>500</v>
      </c>
    </row>
    <row r="36" spans="1:7" x14ac:dyDescent="0.25">
      <c r="A36" s="409" t="s">
        <v>40</v>
      </c>
      <c r="B36" s="409"/>
      <c r="C36" s="14" t="str">
        <f>'P2-INSUMOS BÁSICOS'!C77:D77</f>
        <v>Manutenção do Sistemas e Data Center</v>
      </c>
      <c r="D36" s="94">
        <v>1</v>
      </c>
      <c r="E36" s="110">
        <f>'P2-INSUMOS BÁSICOS'!G77</f>
        <v>350</v>
      </c>
      <c r="F36" s="15" t="s">
        <v>85</v>
      </c>
      <c r="G36" s="111">
        <f t="shared" si="2"/>
        <v>350</v>
      </c>
    </row>
    <row r="37" spans="1:7" x14ac:dyDescent="0.25">
      <c r="A37" s="409" t="s">
        <v>41</v>
      </c>
      <c r="B37" s="409"/>
      <c r="C37" s="14" t="str">
        <f>'P2-INSUMOS BÁSICOS'!C78:D78</f>
        <v>Manutenção da Central de Controle Operacional - CCO</v>
      </c>
      <c r="D37" s="94">
        <v>1</v>
      </c>
      <c r="E37" s="110">
        <f>'P2-INSUMOS BÁSICOS'!G78</f>
        <v>350</v>
      </c>
      <c r="F37" s="15" t="s">
        <v>85</v>
      </c>
      <c r="G37" s="111">
        <f t="shared" si="2"/>
        <v>350</v>
      </c>
    </row>
    <row r="38" spans="1:7" x14ac:dyDescent="0.25">
      <c r="A38" s="409" t="s">
        <v>42</v>
      </c>
      <c r="B38" s="409"/>
      <c r="C38" s="14" t="str">
        <f>'P2-INSUMOS BÁSICOS'!C79:D79</f>
        <v>Manutenção e Reposição de Sinalização Vertical</v>
      </c>
      <c r="D38" s="94">
        <v>1</v>
      </c>
      <c r="E38" s="110">
        <f>'P2-INSUMOS BÁSICOS'!G79</f>
        <v>6869.5</v>
      </c>
      <c r="F38" s="15" t="s">
        <v>85</v>
      </c>
      <c r="G38" s="111">
        <f t="shared" si="2"/>
        <v>6869.5</v>
      </c>
    </row>
    <row r="39" spans="1:7" x14ac:dyDescent="0.25">
      <c r="A39" s="409" t="s">
        <v>43</v>
      </c>
      <c r="B39" s="409"/>
      <c r="C39" s="14" t="str">
        <f>'P2-INSUMOS BÁSICOS'!C80:D80</f>
        <v>Manutenção e Reposição de Sinalização Horizontal</v>
      </c>
      <c r="D39" s="94">
        <v>1</v>
      </c>
      <c r="E39" s="110">
        <f>'P2-INSUMOS BÁSICOS'!G80</f>
        <v>1521</v>
      </c>
      <c r="F39" s="15" t="s">
        <v>85</v>
      </c>
      <c r="G39" s="111">
        <f t="shared" si="2"/>
        <v>1521</v>
      </c>
    </row>
    <row r="40" spans="1:7" x14ac:dyDescent="0.25">
      <c r="A40" s="409" t="s">
        <v>70</v>
      </c>
      <c r="B40" s="409"/>
      <c r="C40" s="14" t="str">
        <f>'P2-INSUMOS BÁSICOS'!C81:D81</f>
        <v>Hospedagem - Armazenamento na Nuvem</v>
      </c>
      <c r="D40" s="94">
        <v>1</v>
      </c>
      <c r="E40" s="110">
        <f>'P2-INSUMOS BÁSICOS'!G81</f>
        <v>1460</v>
      </c>
      <c r="F40" s="15" t="s">
        <v>85</v>
      </c>
      <c r="G40" s="111">
        <f t="shared" si="2"/>
        <v>1460</v>
      </c>
    </row>
    <row r="41" spans="1:7" x14ac:dyDescent="0.25">
      <c r="A41" s="409" t="s">
        <v>83</v>
      </c>
      <c r="B41" s="409"/>
      <c r="C41" s="14" t="str">
        <f>'P2-INSUMOS BÁSICOS'!C82:D82</f>
        <v>Bobina - P.O.S.</v>
      </c>
      <c r="D41" s="94">
        <v>1</v>
      </c>
      <c r="E41" s="110">
        <f>'P2-INSUMOS BÁSICOS'!G82</f>
        <v>550</v>
      </c>
      <c r="F41" s="15" t="s">
        <v>85</v>
      </c>
      <c r="G41" s="111">
        <f t="shared" si="2"/>
        <v>550</v>
      </c>
    </row>
    <row r="43" spans="1:7" ht="15" customHeight="1" x14ac:dyDescent="0.25">
      <c r="A43" s="407" t="s">
        <v>188</v>
      </c>
      <c r="B43" s="407"/>
      <c r="C43" s="407"/>
      <c r="D43" s="407"/>
      <c r="E43" s="407"/>
      <c r="F43" s="407"/>
      <c r="G43" s="108">
        <f>SUM(G33:G41)</f>
        <v>14850.5</v>
      </c>
    </row>
    <row r="44" spans="1:7" x14ac:dyDescent="0.25">
      <c r="A44" s="444" t="s">
        <v>179</v>
      </c>
      <c r="B44" s="444"/>
      <c r="C44" s="444"/>
      <c r="D44" s="444"/>
      <c r="E44" s="444"/>
      <c r="F44" s="444"/>
      <c r="G44" s="109">
        <v>12</v>
      </c>
    </row>
    <row r="45" spans="1:7" x14ac:dyDescent="0.25">
      <c r="A45" s="407" t="s">
        <v>189</v>
      </c>
      <c r="B45" s="407"/>
      <c r="C45" s="407"/>
      <c r="D45" s="407"/>
      <c r="E45" s="407"/>
      <c r="F45" s="407"/>
      <c r="G45" s="108">
        <f>G43*G44</f>
        <v>178206</v>
      </c>
    </row>
    <row r="47" spans="1:7" ht="15" customHeight="1" x14ac:dyDescent="0.25">
      <c r="A47" s="407" t="s">
        <v>190</v>
      </c>
      <c r="B47" s="407"/>
      <c r="C47" s="407"/>
      <c r="D47" s="407"/>
      <c r="E47" s="407"/>
      <c r="F47" s="407"/>
      <c r="G47" s="108">
        <f>G43+G28+G16</f>
        <v>37188</v>
      </c>
    </row>
    <row r="48" spans="1:7" x14ac:dyDescent="0.25">
      <c r="A48" s="444" t="s">
        <v>179</v>
      </c>
      <c r="B48" s="444"/>
      <c r="C48" s="444"/>
      <c r="D48" s="444"/>
      <c r="E48" s="444"/>
      <c r="F48" s="444"/>
      <c r="G48" s="109">
        <v>12</v>
      </c>
    </row>
    <row r="49" spans="1:7" x14ac:dyDescent="0.25">
      <c r="A49" s="407" t="s">
        <v>191</v>
      </c>
      <c r="B49" s="407"/>
      <c r="C49" s="407"/>
      <c r="D49" s="407"/>
      <c r="E49" s="407"/>
      <c r="F49" s="407"/>
      <c r="G49" s="108">
        <f>G47*G48</f>
        <v>446256</v>
      </c>
    </row>
  </sheetData>
  <mergeCells count="47">
    <mergeCell ref="A1:G1"/>
    <mergeCell ref="A3:C3"/>
    <mergeCell ref="A2:G2"/>
    <mergeCell ref="B32:G32"/>
    <mergeCell ref="B20:G20"/>
    <mergeCell ref="B4:G4"/>
    <mergeCell ref="A16:F16"/>
    <mergeCell ref="A30:F30"/>
    <mergeCell ref="A31:G31"/>
    <mergeCell ref="A17:F17"/>
    <mergeCell ref="A18:F18"/>
    <mergeCell ref="A15:G15"/>
    <mergeCell ref="A5:B5"/>
    <mergeCell ref="A6:B6"/>
    <mergeCell ref="A7:B7"/>
    <mergeCell ref="A9:B9"/>
    <mergeCell ref="A10:B10"/>
    <mergeCell ref="A14:B14"/>
    <mergeCell ref="A8:B8"/>
    <mergeCell ref="A21:B21"/>
    <mergeCell ref="A22:B22"/>
    <mergeCell ref="A23:B23"/>
    <mergeCell ref="A19:G19"/>
    <mergeCell ref="A11:B11"/>
    <mergeCell ref="A12:B12"/>
    <mergeCell ref="A13:B13"/>
    <mergeCell ref="A40:B40"/>
    <mergeCell ref="A33:B33"/>
    <mergeCell ref="A34:B34"/>
    <mergeCell ref="A24:B24"/>
    <mergeCell ref="A25:B25"/>
    <mergeCell ref="A26:B26"/>
    <mergeCell ref="A28:F28"/>
    <mergeCell ref="A29:F29"/>
    <mergeCell ref="A27:G27"/>
    <mergeCell ref="A35:B35"/>
    <mergeCell ref="A36:B36"/>
    <mergeCell ref="A37:B37"/>
    <mergeCell ref="A38:B38"/>
    <mergeCell ref="A39:B39"/>
    <mergeCell ref="A48:F48"/>
    <mergeCell ref="A49:F49"/>
    <mergeCell ref="A41:B41"/>
    <mergeCell ref="A43:F43"/>
    <mergeCell ref="A44:F44"/>
    <mergeCell ref="A45:F45"/>
    <mergeCell ref="A47:F47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62820-CCD2-49CA-AB58-6EFA670F6A85}">
  <dimension ref="A1:I38"/>
  <sheetViews>
    <sheetView view="pageLayout" topLeftCell="A2" zoomScale="115" zoomScaleNormal="100" zoomScalePageLayoutView="115" workbookViewId="0">
      <selection activeCell="B3" sqref="A3:I14"/>
    </sheetView>
  </sheetViews>
  <sheetFormatPr defaultRowHeight="15" x14ac:dyDescent="0.25"/>
  <cols>
    <col min="1" max="2" width="2.7109375" style="27" customWidth="1"/>
    <col min="3" max="3" width="33.28515625" style="27" customWidth="1"/>
    <col min="4" max="4" width="9.140625" style="27"/>
    <col min="5" max="5" width="10.140625" style="27" bestFit="1" customWidth="1"/>
    <col min="6" max="6" width="9.140625" style="27"/>
    <col min="7" max="7" width="9.42578125" style="27" customWidth="1"/>
    <col min="8" max="8" width="9.28515625" style="27" customWidth="1"/>
    <col min="9" max="9" width="9.42578125" style="27" customWidth="1"/>
  </cols>
  <sheetData>
    <row r="1" spans="1:9" ht="22.5" customHeight="1" x14ac:dyDescent="0.25">
      <c r="A1" s="452" t="s">
        <v>248</v>
      </c>
      <c r="B1" s="453"/>
      <c r="C1" s="453"/>
      <c r="D1" s="453"/>
      <c r="E1" s="453"/>
      <c r="F1" s="453"/>
      <c r="G1" s="453"/>
      <c r="H1" s="453"/>
      <c r="I1" s="454"/>
    </row>
    <row r="2" spans="1:9" x14ac:dyDescent="0.25">
      <c r="A2" s="461"/>
      <c r="B2" s="461"/>
      <c r="C2" s="461"/>
      <c r="D2" s="461"/>
      <c r="E2" s="461"/>
      <c r="F2" s="461"/>
      <c r="G2" s="461"/>
      <c r="H2" s="461"/>
      <c r="I2" s="461"/>
    </row>
    <row r="3" spans="1:9" s="30" customFormat="1" ht="15" customHeight="1" x14ac:dyDescent="0.2">
      <c r="A3" s="88">
        <v>1</v>
      </c>
      <c r="B3" s="393" t="s">
        <v>194</v>
      </c>
      <c r="C3" s="393"/>
      <c r="D3" s="393"/>
      <c r="E3" s="393"/>
      <c r="F3" s="393"/>
      <c r="G3" s="393"/>
      <c r="H3" s="393"/>
      <c r="I3" s="393"/>
    </row>
    <row r="4" spans="1:9" x14ac:dyDescent="0.25">
      <c r="A4" s="467" t="s">
        <v>22</v>
      </c>
      <c r="B4" s="465"/>
      <c r="C4" s="466"/>
      <c r="D4" s="130" t="s">
        <v>23</v>
      </c>
      <c r="E4" s="143" t="s">
        <v>195</v>
      </c>
      <c r="F4" s="467" t="s">
        <v>25</v>
      </c>
      <c r="G4" s="465"/>
      <c r="H4" s="465"/>
      <c r="I4" s="466"/>
    </row>
    <row r="5" spans="1:9" x14ac:dyDescent="0.25">
      <c r="A5" s="445" t="s">
        <v>28</v>
      </c>
      <c r="B5" s="446"/>
      <c r="C5" s="14" t="s">
        <v>24</v>
      </c>
      <c r="D5" s="15" t="s">
        <v>196</v>
      </c>
      <c r="E5" s="16">
        <v>1</v>
      </c>
      <c r="F5" s="394" t="s">
        <v>174</v>
      </c>
      <c r="G5" s="395"/>
      <c r="H5" s="395"/>
      <c r="I5" s="396"/>
    </row>
    <row r="6" spans="1:9" ht="15" customHeight="1" x14ac:dyDescent="0.25">
      <c r="A6" s="445" t="s">
        <v>33</v>
      </c>
      <c r="B6" s="446"/>
      <c r="C6" s="14" t="s">
        <v>197</v>
      </c>
      <c r="D6" s="15" t="s">
        <v>174</v>
      </c>
      <c r="E6" s="16"/>
      <c r="F6" s="397" t="s">
        <v>198</v>
      </c>
      <c r="G6" s="397"/>
      <c r="H6" s="397"/>
      <c r="I6" s="397"/>
    </row>
    <row r="7" spans="1:9" ht="15" customHeight="1" x14ac:dyDescent="0.25">
      <c r="A7" s="445" t="s">
        <v>39</v>
      </c>
      <c r="B7" s="446"/>
      <c r="C7" s="14" t="s">
        <v>199</v>
      </c>
      <c r="D7" s="15" t="s">
        <v>174</v>
      </c>
      <c r="E7" s="16"/>
      <c r="F7" s="397" t="s">
        <v>198</v>
      </c>
      <c r="G7" s="397"/>
      <c r="H7" s="397"/>
      <c r="I7" s="397"/>
    </row>
    <row r="8" spans="1:9" ht="15" customHeight="1" x14ac:dyDescent="0.25">
      <c r="A8" s="445" t="s">
        <v>40</v>
      </c>
      <c r="B8" s="446"/>
      <c r="C8" s="14" t="s">
        <v>200</v>
      </c>
      <c r="D8" s="15" t="s">
        <v>174</v>
      </c>
      <c r="E8" s="16"/>
      <c r="F8" s="397" t="s">
        <v>198</v>
      </c>
      <c r="G8" s="397"/>
      <c r="H8" s="397"/>
      <c r="I8" s="397"/>
    </row>
    <row r="9" spans="1:9" ht="15" customHeight="1" x14ac:dyDescent="0.25">
      <c r="A9" s="445" t="s">
        <v>41</v>
      </c>
      <c r="B9" s="446"/>
      <c r="C9" s="14" t="s">
        <v>201</v>
      </c>
      <c r="D9" s="15" t="s">
        <v>243</v>
      </c>
      <c r="E9" s="94">
        <v>24</v>
      </c>
      <c r="F9" s="397" t="s">
        <v>198</v>
      </c>
      <c r="G9" s="397"/>
      <c r="H9" s="397"/>
      <c r="I9" s="397"/>
    </row>
    <row r="10" spans="1:9" ht="15" customHeight="1" x14ac:dyDescent="0.25">
      <c r="A10" s="445" t="s">
        <v>42</v>
      </c>
      <c r="B10" s="446"/>
      <c r="C10" s="14" t="s">
        <v>202</v>
      </c>
      <c r="D10" s="15" t="s">
        <v>243</v>
      </c>
      <c r="E10" s="94">
        <v>24</v>
      </c>
      <c r="F10" s="397" t="s">
        <v>198</v>
      </c>
      <c r="G10" s="397"/>
      <c r="H10" s="397"/>
      <c r="I10" s="397"/>
    </row>
    <row r="11" spans="1:9" ht="15" customHeight="1" x14ac:dyDescent="0.25">
      <c r="A11" s="445" t="s">
        <v>43</v>
      </c>
      <c r="B11" s="446"/>
      <c r="C11" s="14" t="s">
        <v>203</v>
      </c>
      <c r="D11" s="15" t="s">
        <v>204</v>
      </c>
      <c r="E11" s="16">
        <v>999</v>
      </c>
      <c r="F11" s="397" t="s">
        <v>198</v>
      </c>
      <c r="G11" s="397"/>
      <c r="H11" s="397"/>
      <c r="I11" s="397"/>
    </row>
    <row r="12" spans="1:9" ht="15" customHeight="1" x14ac:dyDescent="0.25">
      <c r="A12" s="445" t="s">
        <v>70</v>
      </c>
      <c r="B12" s="446"/>
      <c r="C12" s="14" t="s">
        <v>205</v>
      </c>
      <c r="D12" s="15" t="s">
        <v>206</v>
      </c>
      <c r="E12" s="16">
        <v>68</v>
      </c>
      <c r="F12" s="397" t="s">
        <v>198</v>
      </c>
      <c r="G12" s="397"/>
      <c r="H12" s="397"/>
      <c r="I12" s="397"/>
    </row>
    <row r="13" spans="1:9" ht="15" customHeight="1" x14ac:dyDescent="0.25">
      <c r="A13" s="445" t="s">
        <v>83</v>
      </c>
      <c r="B13" s="446"/>
      <c r="C13" s="14" t="s">
        <v>207</v>
      </c>
      <c r="D13" s="15" t="s">
        <v>174</v>
      </c>
      <c r="E13" s="94" t="s">
        <v>208</v>
      </c>
      <c r="F13" s="397" t="s">
        <v>198</v>
      </c>
      <c r="G13" s="397"/>
      <c r="H13" s="397"/>
      <c r="I13" s="397"/>
    </row>
    <row r="14" spans="1:9" ht="22.5" x14ac:dyDescent="0.25">
      <c r="A14" s="445" t="s">
        <v>143</v>
      </c>
      <c r="B14" s="446"/>
      <c r="C14" s="14" t="s">
        <v>209</v>
      </c>
      <c r="D14" s="15" t="s">
        <v>174</v>
      </c>
      <c r="E14" s="94" t="s">
        <v>244</v>
      </c>
      <c r="F14" s="397" t="s">
        <v>197</v>
      </c>
      <c r="G14" s="397"/>
      <c r="H14" s="397"/>
      <c r="I14" s="397"/>
    </row>
    <row r="15" spans="1:9" x14ac:dyDescent="0.25">
      <c r="A15" s="404"/>
      <c r="B15" s="404"/>
      <c r="C15" s="404"/>
      <c r="D15" s="404"/>
      <c r="E15" s="404"/>
      <c r="F15" s="404"/>
      <c r="G15" s="404"/>
      <c r="H15" s="404"/>
      <c r="I15" s="404"/>
    </row>
    <row r="16" spans="1:9" s="30" customFormat="1" ht="15" customHeight="1" x14ac:dyDescent="0.2">
      <c r="A16" s="144">
        <v>2</v>
      </c>
      <c r="B16" s="460" t="s">
        <v>210</v>
      </c>
      <c r="C16" s="460"/>
      <c r="D16" s="460"/>
      <c r="E16" s="460"/>
      <c r="F16" s="460"/>
      <c r="G16" s="460"/>
      <c r="H16" s="460"/>
      <c r="I16" s="460"/>
    </row>
    <row r="17" spans="1:9" x14ac:dyDescent="0.25">
      <c r="A17" s="464" t="s">
        <v>22</v>
      </c>
      <c r="B17" s="465"/>
      <c r="C17" s="466"/>
      <c r="D17" s="130" t="s">
        <v>23</v>
      </c>
      <c r="E17" s="138" t="s">
        <v>211</v>
      </c>
      <c r="F17" s="467" t="s">
        <v>25</v>
      </c>
      <c r="G17" s="465"/>
      <c r="H17" s="465"/>
      <c r="I17" s="466"/>
    </row>
    <row r="18" spans="1:9" x14ac:dyDescent="0.25">
      <c r="A18" s="462" t="s">
        <v>28</v>
      </c>
      <c r="B18" s="463"/>
      <c r="C18" s="14" t="s">
        <v>212</v>
      </c>
      <c r="D18" s="15" t="s">
        <v>213</v>
      </c>
      <c r="E18" s="139">
        <f>'P3-INVESTIMENTOS INICIAIS'!F42</f>
        <v>57328</v>
      </c>
      <c r="F18" s="397" t="s">
        <v>174</v>
      </c>
      <c r="G18" s="397"/>
      <c r="H18" s="397"/>
      <c r="I18" s="397"/>
    </row>
    <row r="19" spans="1:9" x14ac:dyDescent="0.25">
      <c r="A19" s="462" t="s">
        <v>33</v>
      </c>
      <c r="B19" s="463"/>
      <c r="C19" s="14" t="s">
        <v>214</v>
      </c>
      <c r="D19" s="15" t="s">
        <v>213</v>
      </c>
      <c r="E19" s="126">
        <f>E18-(E21*4)</f>
        <v>55928</v>
      </c>
      <c r="F19" s="397" t="s">
        <v>174</v>
      </c>
      <c r="G19" s="397"/>
      <c r="H19" s="397"/>
      <c r="I19" s="397"/>
    </row>
    <row r="20" spans="1:9" ht="15" customHeight="1" x14ac:dyDescent="0.25">
      <c r="A20" s="462" t="s">
        <v>39</v>
      </c>
      <c r="B20" s="463"/>
      <c r="C20" s="14" t="s">
        <v>215</v>
      </c>
      <c r="D20" s="15" t="s">
        <v>216</v>
      </c>
      <c r="E20" s="126">
        <v>5.89</v>
      </c>
      <c r="F20" s="397" t="s">
        <v>217</v>
      </c>
      <c r="G20" s="397"/>
      <c r="H20" s="397"/>
      <c r="I20" s="397"/>
    </row>
    <row r="21" spans="1:9" ht="15" customHeight="1" x14ac:dyDescent="0.25">
      <c r="A21" s="462" t="s">
        <v>40</v>
      </c>
      <c r="B21" s="463"/>
      <c r="C21" s="14" t="s">
        <v>218</v>
      </c>
      <c r="D21" s="15" t="s">
        <v>219</v>
      </c>
      <c r="E21" s="136">
        <v>350</v>
      </c>
      <c r="F21" s="397" t="s">
        <v>217</v>
      </c>
      <c r="G21" s="397"/>
      <c r="H21" s="397"/>
      <c r="I21" s="397"/>
    </row>
    <row r="22" spans="1:9" ht="15" customHeight="1" x14ac:dyDescent="0.25">
      <c r="A22" s="462" t="s">
        <v>41</v>
      </c>
      <c r="B22" s="463"/>
      <c r="C22" s="14" t="s">
        <v>221</v>
      </c>
      <c r="D22" s="15" t="s">
        <v>220</v>
      </c>
      <c r="E22" s="136">
        <v>80</v>
      </c>
      <c r="F22" s="397" t="s">
        <v>38</v>
      </c>
      <c r="G22" s="397"/>
      <c r="H22" s="397"/>
      <c r="I22" s="397"/>
    </row>
    <row r="23" spans="1:9" ht="15" customHeight="1" x14ac:dyDescent="0.25">
      <c r="A23" s="462" t="s">
        <v>42</v>
      </c>
      <c r="B23" s="463"/>
      <c r="C23" s="14" t="s">
        <v>222</v>
      </c>
      <c r="D23" s="15" t="s">
        <v>216</v>
      </c>
      <c r="E23" s="136">
        <v>75</v>
      </c>
      <c r="F23" s="397" t="s">
        <v>217</v>
      </c>
      <c r="G23" s="397"/>
      <c r="H23" s="397"/>
      <c r="I23" s="397"/>
    </row>
    <row r="24" spans="1:9" x14ac:dyDescent="0.25">
      <c r="A24" s="462" t="s">
        <v>43</v>
      </c>
      <c r="B24" s="463"/>
      <c r="C24" s="14" t="s">
        <v>223</v>
      </c>
      <c r="D24" s="15" t="s">
        <v>224</v>
      </c>
      <c r="E24" s="136">
        <v>2293</v>
      </c>
      <c r="F24" s="397" t="s">
        <v>225</v>
      </c>
      <c r="G24" s="397"/>
      <c r="H24" s="397"/>
      <c r="I24" s="397"/>
    </row>
    <row r="25" spans="1:9" x14ac:dyDescent="0.25">
      <c r="A25" s="462" t="s">
        <v>70</v>
      </c>
      <c r="B25" s="463"/>
      <c r="C25" s="14" t="s">
        <v>245</v>
      </c>
      <c r="D25" s="15" t="s">
        <v>224</v>
      </c>
      <c r="E25" s="126">
        <v>2580</v>
      </c>
      <c r="F25" s="397" t="s">
        <v>38</v>
      </c>
      <c r="G25" s="397"/>
      <c r="H25" s="397"/>
      <c r="I25" s="397"/>
    </row>
    <row r="26" spans="1:9" x14ac:dyDescent="0.25">
      <c r="A26" s="404"/>
      <c r="B26" s="404"/>
      <c r="C26" s="404"/>
      <c r="D26" s="404"/>
      <c r="E26" s="404"/>
      <c r="F26" s="404"/>
      <c r="G26" s="404"/>
      <c r="H26" s="404"/>
      <c r="I26" s="404"/>
    </row>
    <row r="27" spans="1:9" s="30" customFormat="1" ht="15" customHeight="1" x14ac:dyDescent="0.2">
      <c r="A27" s="88">
        <v>3</v>
      </c>
      <c r="B27" s="393" t="s">
        <v>226</v>
      </c>
      <c r="C27" s="393"/>
      <c r="D27" s="393"/>
      <c r="E27" s="393"/>
      <c r="F27" s="393"/>
      <c r="G27" s="393"/>
      <c r="H27" s="393"/>
      <c r="I27" s="393"/>
    </row>
    <row r="28" spans="1:9" x14ac:dyDescent="0.25">
      <c r="A28" s="467" t="s">
        <v>22</v>
      </c>
      <c r="B28" s="465"/>
      <c r="C28" s="466"/>
      <c r="D28" s="130" t="s">
        <v>23</v>
      </c>
      <c r="E28" s="138" t="s">
        <v>211</v>
      </c>
      <c r="F28" s="467" t="s">
        <v>25</v>
      </c>
      <c r="G28" s="465"/>
      <c r="H28" s="465"/>
      <c r="I28" s="466"/>
    </row>
    <row r="29" spans="1:9" ht="15" customHeight="1" x14ac:dyDescent="0.25">
      <c r="A29" s="385" t="s">
        <v>28</v>
      </c>
      <c r="B29" s="385"/>
      <c r="C29" s="14" t="s">
        <v>227</v>
      </c>
      <c r="D29" s="15" t="s">
        <v>228</v>
      </c>
      <c r="E29" s="140">
        <v>1000</v>
      </c>
      <c r="F29" s="397" t="s">
        <v>229</v>
      </c>
      <c r="G29" s="397"/>
      <c r="H29" s="397"/>
      <c r="I29" s="397"/>
    </row>
    <row r="30" spans="1:9" x14ac:dyDescent="0.25">
      <c r="A30" s="461"/>
      <c r="B30" s="461"/>
      <c r="C30" s="461"/>
      <c r="D30" s="461"/>
      <c r="E30" s="461"/>
      <c r="F30" s="461"/>
      <c r="G30" s="461"/>
      <c r="H30" s="461"/>
      <c r="I30" s="461"/>
    </row>
    <row r="31" spans="1:9" s="30" customFormat="1" ht="15" customHeight="1" x14ac:dyDescent="0.2">
      <c r="A31" s="88">
        <v>4</v>
      </c>
      <c r="B31" s="393" t="s">
        <v>230</v>
      </c>
      <c r="C31" s="393"/>
      <c r="D31" s="393"/>
      <c r="E31" s="393"/>
      <c r="F31" s="393"/>
      <c r="G31" s="393"/>
      <c r="H31" s="393"/>
      <c r="I31" s="393"/>
    </row>
    <row r="32" spans="1:9" ht="33.75" x14ac:dyDescent="0.25">
      <c r="A32" s="467" t="s">
        <v>231</v>
      </c>
      <c r="B32" s="465"/>
      <c r="C32" s="466"/>
      <c r="D32" s="130" t="s">
        <v>232</v>
      </c>
      <c r="E32" s="133" t="s">
        <v>237</v>
      </c>
      <c r="F32" s="130" t="s">
        <v>234</v>
      </c>
      <c r="G32" s="141" t="s">
        <v>240</v>
      </c>
      <c r="H32" s="141" t="s">
        <v>241</v>
      </c>
      <c r="I32" s="141" t="s">
        <v>242</v>
      </c>
    </row>
    <row r="33" spans="1:9" x14ac:dyDescent="0.25">
      <c r="A33" s="458" t="s">
        <v>28</v>
      </c>
      <c r="B33" s="459"/>
      <c r="C33" s="85" t="s">
        <v>223</v>
      </c>
      <c r="D33" s="159" t="s">
        <v>246</v>
      </c>
      <c r="E33" s="160">
        <v>12</v>
      </c>
      <c r="F33" s="159" t="s">
        <v>224</v>
      </c>
      <c r="G33" s="161">
        <f>E24</f>
        <v>2293</v>
      </c>
      <c r="H33" s="161">
        <f>G33/E33</f>
        <v>191.08333333333334</v>
      </c>
      <c r="I33" s="126">
        <f>H33/E29</f>
        <v>0.19108333333333336</v>
      </c>
    </row>
    <row r="34" spans="1:9" x14ac:dyDescent="0.25">
      <c r="A34" s="385" t="s">
        <v>33</v>
      </c>
      <c r="B34" s="385"/>
      <c r="C34" s="14" t="s">
        <v>245</v>
      </c>
      <c r="D34" s="15" t="s">
        <v>246</v>
      </c>
      <c r="E34" s="16">
        <v>12</v>
      </c>
      <c r="F34" s="15" t="s">
        <v>224</v>
      </c>
      <c r="G34" s="126">
        <f>E25</f>
        <v>2580</v>
      </c>
      <c r="H34" s="126">
        <f>G34/E34</f>
        <v>215</v>
      </c>
      <c r="I34" s="126">
        <f>H34/E29</f>
        <v>0.215</v>
      </c>
    </row>
    <row r="35" spans="1:9" x14ac:dyDescent="0.25">
      <c r="A35" s="101"/>
      <c r="B35" s="101"/>
      <c r="C35" s="101"/>
      <c r="D35" s="101"/>
      <c r="E35" s="101"/>
      <c r="F35" s="101"/>
      <c r="G35" s="468" t="s">
        <v>239</v>
      </c>
      <c r="H35" s="468"/>
      <c r="I35" s="129">
        <f>SUM(I33:I34)</f>
        <v>0.40608333333333335</v>
      </c>
    </row>
    <row r="36" spans="1:9" x14ac:dyDescent="0.25">
      <c r="A36" s="101"/>
      <c r="B36" s="101"/>
      <c r="C36" s="101"/>
      <c r="D36" s="101"/>
      <c r="E36" s="101"/>
      <c r="F36" s="101"/>
      <c r="G36" s="385" t="s">
        <v>227</v>
      </c>
      <c r="H36" s="385"/>
      <c r="I36" s="142">
        <v>1000</v>
      </c>
    </row>
    <row r="37" spans="1:9" x14ac:dyDescent="0.25">
      <c r="A37" s="101"/>
      <c r="B37" s="101"/>
      <c r="C37" s="101"/>
      <c r="D37" s="101"/>
      <c r="E37" s="101"/>
      <c r="F37" s="101"/>
      <c r="G37" s="468" t="s">
        <v>452</v>
      </c>
      <c r="H37" s="468"/>
      <c r="I37" s="129">
        <f>I35*I36</f>
        <v>406.08333333333337</v>
      </c>
    </row>
    <row r="38" spans="1:9" x14ac:dyDescent="0.25">
      <c r="A38" s="101"/>
      <c r="B38" s="101"/>
      <c r="C38" s="101"/>
      <c r="D38" s="101"/>
      <c r="E38" s="101"/>
      <c r="F38" s="101"/>
      <c r="G38" s="468" t="s">
        <v>247</v>
      </c>
      <c r="H38" s="468"/>
      <c r="I38" s="129">
        <f>I37*12</f>
        <v>4873</v>
      </c>
    </row>
  </sheetData>
  <mergeCells count="60">
    <mergeCell ref="A1:I1"/>
    <mergeCell ref="A4:C4"/>
    <mergeCell ref="F4:I4"/>
    <mergeCell ref="G38:H38"/>
    <mergeCell ref="A2:I2"/>
    <mergeCell ref="B3:I3"/>
    <mergeCell ref="F6:I6"/>
    <mergeCell ref="G35:H35"/>
    <mergeCell ref="G36:H36"/>
    <mergeCell ref="G37:H37"/>
    <mergeCell ref="A32:C32"/>
    <mergeCell ref="A29:B29"/>
    <mergeCell ref="F29:I29"/>
    <mergeCell ref="A26:I26"/>
    <mergeCell ref="A28:C28"/>
    <mergeCell ref="F28:I28"/>
    <mergeCell ref="F25:I25"/>
    <mergeCell ref="F24:I24"/>
    <mergeCell ref="F23:I23"/>
    <mergeCell ref="F13:I13"/>
    <mergeCell ref="F14:I14"/>
    <mergeCell ref="F5:I5"/>
    <mergeCell ref="A5:B5"/>
    <mergeCell ref="A6:B6"/>
    <mergeCell ref="A7:B7"/>
    <mergeCell ref="A8:B8"/>
    <mergeCell ref="F12:I12"/>
    <mergeCell ref="F7:I7"/>
    <mergeCell ref="F8:I8"/>
    <mergeCell ref="A12:B12"/>
    <mergeCell ref="A13:B13"/>
    <mergeCell ref="A9:B9"/>
    <mergeCell ref="A10:B10"/>
    <mergeCell ref="A11:B11"/>
    <mergeCell ref="F9:I9"/>
    <mergeCell ref="F10:I10"/>
    <mergeCell ref="F11:I11"/>
    <mergeCell ref="A14:B14"/>
    <mergeCell ref="A19:B19"/>
    <mergeCell ref="A18:B18"/>
    <mergeCell ref="A15:I15"/>
    <mergeCell ref="A17:C17"/>
    <mergeCell ref="F17:I17"/>
    <mergeCell ref="F18:I18"/>
    <mergeCell ref="A33:B33"/>
    <mergeCell ref="A34:B34"/>
    <mergeCell ref="B31:I31"/>
    <mergeCell ref="B27:I27"/>
    <mergeCell ref="B16:I16"/>
    <mergeCell ref="A30:I30"/>
    <mergeCell ref="A25:B25"/>
    <mergeCell ref="A24:B24"/>
    <mergeCell ref="A23:B23"/>
    <mergeCell ref="A22:B22"/>
    <mergeCell ref="A21:B21"/>
    <mergeCell ref="A20:B20"/>
    <mergeCell ref="F20:I20"/>
    <mergeCell ref="F19:I19"/>
    <mergeCell ref="F22:I22"/>
    <mergeCell ref="F21:I21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4D564-C4C1-4222-865E-A5DD1691F4B5}">
  <dimension ref="A1:J19"/>
  <sheetViews>
    <sheetView view="pageLayout" zoomScaleNormal="100" workbookViewId="0">
      <selection sqref="A1:J1"/>
    </sheetView>
  </sheetViews>
  <sheetFormatPr defaultRowHeight="15" x14ac:dyDescent="0.25"/>
  <cols>
    <col min="1" max="2" width="2.7109375" style="1" customWidth="1"/>
    <col min="3" max="3" width="29.7109375" style="1" customWidth="1"/>
    <col min="4" max="4" width="9.85546875" style="1" bestFit="1" customWidth="1"/>
    <col min="5" max="5" width="8.7109375" style="1" bestFit="1" customWidth="1"/>
    <col min="6" max="6" width="7.28515625" style="2" bestFit="1" customWidth="1"/>
    <col min="7" max="7" width="9.140625" style="1"/>
    <col min="8" max="8" width="7.28515625" style="2" bestFit="1" customWidth="1"/>
    <col min="9" max="10" width="10.42578125" style="87" bestFit="1" customWidth="1"/>
  </cols>
  <sheetData>
    <row r="1" spans="1:10" ht="22.5" customHeight="1" x14ac:dyDescent="0.25">
      <c r="A1" s="452" t="s">
        <v>272</v>
      </c>
      <c r="B1" s="453"/>
      <c r="C1" s="453"/>
      <c r="D1" s="453"/>
      <c r="E1" s="453"/>
      <c r="F1" s="453"/>
      <c r="G1" s="453"/>
      <c r="H1" s="453"/>
      <c r="I1" s="453"/>
      <c r="J1" s="454"/>
    </row>
    <row r="2" spans="1:10" x14ac:dyDescent="0.25">
      <c r="A2" s="471"/>
      <c r="B2" s="472"/>
      <c r="C2" s="472"/>
      <c r="D2" s="472"/>
      <c r="E2" s="472"/>
      <c r="F2" s="472"/>
      <c r="G2" s="472"/>
      <c r="H2" s="472"/>
      <c r="I2" s="472"/>
      <c r="J2" s="473"/>
    </row>
    <row r="3" spans="1:10" s="103" customFormat="1" ht="33.75" x14ac:dyDescent="0.25">
      <c r="A3" s="476" t="s">
        <v>231</v>
      </c>
      <c r="B3" s="477"/>
      <c r="C3" s="478"/>
      <c r="D3" s="145" t="s">
        <v>25</v>
      </c>
      <c r="E3" s="145" t="s">
        <v>250</v>
      </c>
      <c r="F3" s="146" t="s">
        <v>251</v>
      </c>
      <c r="G3" s="145" t="s">
        <v>233</v>
      </c>
      <c r="H3" s="145" t="s">
        <v>23</v>
      </c>
      <c r="I3" s="147" t="s">
        <v>252</v>
      </c>
      <c r="J3" s="147" t="s">
        <v>242</v>
      </c>
    </row>
    <row r="4" spans="1:10" s="30" customFormat="1" ht="12" customHeight="1" x14ac:dyDescent="0.2">
      <c r="A4" s="24">
        <v>1</v>
      </c>
      <c r="B4" s="393" t="s">
        <v>254</v>
      </c>
      <c r="C4" s="393"/>
      <c r="D4" s="393"/>
      <c r="E4" s="393"/>
      <c r="F4" s="393"/>
      <c r="G4" s="393"/>
      <c r="H4" s="393"/>
      <c r="I4" s="393"/>
      <c r="J4" s="393"/>
    </row>
    <row r="5" spans="1:10" x14ac:dyDescent="0.25">
      <c r="A5" s="385" t="s">
        <v>28</v>
      </c>
      <c r="B5" s="385"/>
      <c r="C5" s="14" t="s">
        <v>255</v>
      </c>
      <c r="D5" s="15" t="s">
        <v>256</v>
      </c>
      <c r="E5" s="134">
        <v>38</v>
      </c>
      <c r="F5" s="16">
        <v>500</v>
      </c>
      <c r="G5" s="135">
        <f>E5/F5</f>
        <v>7.5999999999999998E-2</v>
      </c>
      <c r="H5" s="15" t="s">
        <v>216</v>
      </c>
      <c r="I5" s="136">
        <f>'P7 - DESPESA FIXA VEÍCULO'!E20</f>
        <v>5.89</v>
      </c>
      <c r="J5" s="136">
        <f>G5*I5</f>
        <v>0.44763999999999998</v>
      </c>
    </row>
    <row r="6" spans="1:10" s="30" customFormat="1" ht="12" customHeight="1" x14ac:dyDescent="0.2">
      <c r="A6" s="24">
        <v>2</v>
      </c>
      <c r="B6" s="393" t="s">
        <v>258</v>
      </c>
      <c r="C6" s="393"/>
      <c r="D6" s="393"/>
      <c r="E6" s="393"/>
      <c r="F6" s="393"/>
      <c r="G6" s="393"/>
      <c r="H6" s="393"/>
      <c r="I6" s="393"/>
      <c r="J6" s="393"/>
    </row>
    <row r="7" spans="1:10" x14ac:dyDescent="0.25">
      <c r="A7" s="100"/>
      <c r="B7" s="105" t="s">
        <v>28</v>
      </c>
      <c r="C7" s="92" t="s">
        <v>259</v>
      </c>
      <c r="D7" s="106" t="s">
        <v>256</v>
      </c>
      <c r="E7" s="148">
        <v>3</v>
      </c>
      <c r="F7" s="149">
        <v>7000</v>
      </c>
      <c r="G7" s="150">
        <f>E7/F7</f>
        <v>4.2857142857142855E-4</v>
      </c>
      <c r="H7" s="106" t="s">
        <v>216</v>
      </c>
      <c r="I7" s="151">
        <f>'P7 - DESPESA FIXA VEÍCULO'!E23</f>
        <v>75</v>
      </c>
      <c r="J7" s="152">
        <f>G7*I7</f>
        <v>3.214285714285714E-2</v>
      </c>
    </row>
    <row r="8" spans="1:10" s="30" customFormat="1" ht="12" customHeight="1" x14ac:dyDescent="0.2">
      <c r="A8" s="24">
        <v>3</v>
      </c>
      <c r="B8" s="393" t="s">
        <v>262</v>
      </c>
      <c r="C8" s="393"/>
      <c r="D8" s="393"/>
      <c r="E8" s="393"/>
      <c r="F8" s="393"/>
      <c r="G8" s="393"/>
      <c r="H8" s="393"/>
      <c r="I8" s="393"/>
      <c r="J8" s="393"/>
    </row>
    <row r="9" spans="1:10" x14ac:dyDescent="0.25">
      <c r="A9" s="100"/>
      <c r="B9" s="105" t="s">
        <v>28</v>
      </c>
      <c r="C9" s="92" t="s">
        <v>263</v>
      </c>
      <c r="D9" s="106" t="s">
        <v>264</v>
      </c>
      <c r="E9" s="153">
        <v>4</v>
      </c>
      <c r="F9" s="149">
        <v>40000</v>
      </c>
      <c r="G9" s="150">
        <f>E9/F9</f>
        <v>1E-4</v>
      </c>
      <c r="H9" s="106" t="s">
        <v>219</v>
      </c>
      <c r="I9" s="151">
        <f>'P7 - DESPESA FIXA VEÍCULO'!E21</f>
        <v>350</v>
      </c>
      <c r="J9" s="152">
        <f>G9*I9</f>
        <v>3.5000000000000003E-2</v>
      </c>
    </row>
    <row r="10" spans="1:10" s="30" customFormat="1" ht="12" customHeight="1" x14ac:dyDescent="0.2">
      <c r="A10" s="24">
        <v>4</v>
      </c>
      <c r="B10" s="393" t="s">
        <v>266</v>
      </c>
      <c r="C10" s="393"/>
      <c r="D10" s="393"/>
      <c r="E10" s="393"/>
      <c r="F10" s="393"/>
      <c r="G10" s="393"/>
      <c r="H10" s="393"/>
      <c r="I10" s="393"/>
      <c r="J10" s="393"/>
    </row>
    <row r="11" spans="1:10" x14ac:dyDescent="0.25">
      <c r="A11" s="100"/>
      <c r="B11" s="105" t="s">
        <v>28</v>
      </c>
      <c r="C11" s="92" t="s">
        <v>266</v>
      </c>
      <c r="D11" s="106" t="s">
        <v>267</v>
      </c>
      <c r="E11" s="154">
        <v>1E-3</v>
      </c>
      <c r="F11" s="95" t="s">
        <v>174</v>
      </c>
      <c r="G11" s="155">
        <v>9.9999999999999995E-7</v>
      </c>
      <c r="H11" s="106" t="s">
        <v>213</v>
      </c>
      <c r="I11" s="151">
        <f>'P7 - DESPESA FIXA VEÍCULO'!E18</f>
        <v>57328</v>
      </c>
      <c r="J11" s="152">
        <f>G11*I11</f>
        <v>5.7327999999999997E-2</v>
      </c>
    </row>
    <row r="12" spans="1:10" s="30" customFormat="1" ht="12" customHeight="1" x14ac:dyDescent="0.2">
      <c r="A12" s="24">
        <v>5</v>
      </c>
      <c r="B12" s="393" t="s">
        <v>269</v>
      </c>
      <c r="C12" s="393"/>
      <c r="D12" s="393"/>
      <c r="E12" s="393"/>
      <c r="F12" s="393"/>
      <c r="G12" s="393"/>
      <c r="H12" s="393"/>
      <c r="I12" s="393"/>
      <c r="J12" s="393"/>
    </row>
    <row r="13" spans="1:10" x14ac:dyDescent="0.25">
      <c r="A13" s="29"/>
      <c r="B13" s="13" t="s">
        <v>28</v>
      </c>
      <c r="C13" s="29" t="s">
        <v>270</v>
      </c>
      <c r="D13" s="15" t="s">
        <v>271</v>
      </c>
      <c r="E13" s="16">
        <v>4</v>
      </c>
      <c r="F13" s="140">
        <v>1000</v>
      </c>
      <c r="G13" s="135">
        <f>E13/F13</f>
        <v>4.0000000000000001E-3</v>
      </c>
      <c r="H13" s="15" t="s">
        <v>220</v>
      </c>
      <c r="I13" s="126">
        <f>'P7 - DESPESA FIXA VEÍCULO'!E22</f>
        <v>80</v>
      </c>
      <c r="J13" s="136">
        <f>G13*I13</f>
        <v>0.32</v>
      </c>
    </row>
    <row r="14" spans="1:10" x14ac:dyDescent="0.25">
      <c r="A14" s="101"/>
      <c r="B14" s="101"/>
      <c r="C14" s="101"/>
      <c r="D14" s="101"/>
      <c r="E14" s="101"/>
      <c r="F14" s="107"/>
      <c r="G14" s="116"/>
      <c r="H14" s="474" t="s">
        <v>239</v>
      </c>
      <c r="I14" s="474"/>
      <c r="J14" s="158">
        <f>J13+J11+J9+J7+J5</f>
        <v>0.89211085714285709</v>
      </c>
    </row>
    <row r="15" spans="1:10" x14ac:dyDescent="0.25">
      <c r="A15" s="101"/>
      <c r="B15" s="101"/>
      <c r="C15" s="101"/>
      <c r="D15" s="101"/>
      <c r="E15" s="101"/>
      <c r="F15" s="107"/>
      <c r="G15" s="116"/>
      <c r="H15" s="475" t="s">
        <v>227</v>
      </c>
      <c r="I15" s="475"/>
      <c r="J15" s="157">
        <v>1000</v>
      </c>
    </row>
    <row r="16" spans="1:10" x14ac:dyDescent="0.25">
      <c r="A16" s="101"/>
      <c r="B16" s="101"/>
      <c r="C16" s="101"/>
      <c r="D16" s="101"/>
      <c r="E16" s="101"/>
      <c r="F16" s="107"/>
      <c r="G16" s="116"/>
      <c r="H16" s="474" t="s">
        <v>273</v>
      </c>
      <c r="I16" s="474"/>
      <c r="J16" s="156">
        <f>J14*J15</f>
        <v>892.11085714285707</v>
      </c>
    </row>
    <row r="17" spans="1:10" x14ac:dyDescent="0.25">
      <c r="A17" s="101"/>
      <c r="B17" s="101"/>
      <c r="C17" s="101"/>
      <c r="D17" s="101"/>
      <c r="E17" s="101"/>
      <c r="F17" s="107"/>
      <c r="G17" s="116"/>
      <c r="H17" s="470" t="s">
        <v>274</v>
      </c>
      <c r="I17" s="470"/>
      <c r="J17" s="162">
        <f>J16*12</f>
        <v>10705.330285714284</v>
      </c>
    </row>
    <row r="18" spans="1:10" x14ac:dyDescent="0.25">
      <c r="A18" s="469" t="s">
        <v>275</v>
      </c>
      <c r="B18" s="469"/>
      <c r="C18" s="469"/>
      <c r="D18" s="469"/>
      <c r="E18" s="469"/>
      <c r="F18" s="469"/>
      <c r="G18" s="469"/>
      <c r="H18" s="469"/>
      <c r="I18" s="469"/>
      <c r="J18" s="469"/>
    </row>
    <row r="19" spans="1:10" x14ac:dyDescent="0.25">
      <c r="A19" s="469" t="s">
        <v>276</v>
      </c>
      <c r="B19" s="469"/>
      <c r="C19" s="469"/>
      <c r="D19" s="469"/>
      <c r="E19" s="469"/>
      <c r="F19" s="469"/>
      <c r="G19" s="469"/>
      <c r="H19" s="469"/>
      <c r="I19" s="469"/>
      <c r="J19" s="469"/>
    </row>
  </sheetData>
  <mergeCells count="15">
    <mergeCell ref="A18:J18"/>
    <mergeCell ref="A19:J19"/>
    <mergeCell ref="H17:I17"/>
    <mergeCell ref="A1:J1"/>
    <mergeCell ref="A2:J2"/>
    <mergeCell ref="A5:B5"/>
    <mergeCell ref="B12:J12"/>
    <mergeCell ref="B10:J10"/>
    <mergeCell ref="B8:J8"/>
    <mergeCell ref="B6:J6"/>
    <mergeCell ref="B4:J4"/>
    <mergeCell ref="H14:I14"/>
    <mergeCell ref="H15:I15"/>
    <mergeCell ref="H16:I16"/>
    <mergeCell ref="A3:C3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64158-DF7C-42BB-BC3E-E8E7005E6137}">
  <dimension ref="A1:H48"/>
  <sheetViews>
    <sheetView view="pageLayout" topLeftCell="A25" zoomScaleNormal="100" workbookViewId="0">
      <selection activeCell="H36" sqref="H36"/>
    </sheetView>
  </sheetViews>
  <sheetFormatPr defaultRowHeight="15" x14ac:dyDescent="0.25"/>
  <cols>
    <col min="1" max="2" width="2.7109375" style="2" customWidth="1"/>
    <col min="3" max="3" width="37.85546875" style="8" customWidth="1"/>
    <col min="4" max="4" width="9.28515625" style="2" customWidth="1"/>
    <col min="5" max="5" width="11" style="2" bestFit="1" customWidth="1"/>
    <col min="6" max="6" width="12.42578125" style="2" customWidth="1"/>
    <col min="7" max="7" width="11" style="2" bestFit="1" customWidth="1"/>
    <col min="8" max="8" width="11.85546875" style="2" bestFit="1" customWidth="1"/>
  </cols>
  <sheetData>
    <row r="1" spans="1:8" s="30" customFormat="1" ht="22.5" customHeight="1" x14ac:dyDescent="0.2">
      <c r="A1" s="452" t="s">
        <v>391</v>
      </c>
      <c r="B1" s="453"/>
      <c r="C1" s="453"/>
      <c r="D1" s="453"/>
      <c r="E1" s="453"/>
      <c r="F1" s="453"/>
      <c r="G1" s="453"/>
      <c r="H1" s="454"/>
    </row>
    <row r="2" spans="1:8" x14ac:dyDescent="0.25">
      <c r="A2" s="461"/>
      <c r="B2" s="461"/>
      <c r="C2" s="461"/>
      <c r="D2" s="461"/>
      <c r="E2" s="461"/>
      <c r="F2" s="461"/>
      <c r="G2" s="461"/>
      <c r="H2" s="461"/>
    </row>
    <row r="3" spans="1:8" s="30" customFormat="1" ht="15" customHeight="1" x14ac:dyDescent="0.2">
      <c r="A3" s="24" t="s">
        <v>27</v>
      </c>
      <c r="B3" s="393" t="s">
        <v>293</v>
      </c>
      <c r="C3" s="393"/>
      <c r="D3" s="393"/>
      <c r="E3" s="393"/>
      <c r="F3" s="393"/>
      <c r="G3" s="393"/>
      <c r="H3" s="393"/>
    </row>
    <row r="4" spans="1:8" s="30" customFormat="1" ht="15" customHeight="1" x14ac:dyDescent="0.2">
      <c r="A4" s="172">
        <v>1</v>
      </c>
      <c r="B4" s="441" t="s">
        <v>277</v>
      </c>
      <c r="C4" s="441"/>
      <c r="D4" s="441"/>
      <c r="E4" s="441"/>
      <c r="F4" s="441"/>
      <c r="G4" s="441"/>
      <c r="H4" s="441"/>
    </row>
    <row r="5" spans="1:8" s="30" customFormat="1" ht="12" x14ac:dyDescent="0.2">
      <c r="A5" s="501" t="s">
        <v>22</v>
      </c>
      <c r="B5" s="501"/>
      <c r="C5" s="501"/>
      <c r="D5" s="501" t="s">
        <v>232</v>
      </c>
      <c r="E5" s="502" t="s">
        <v>290</v>
      </c>
      <c r="F5" s="503" t="s">
        <v>278</v>
      </c>
      <c r="G5" s="393" t="s">
        <v>233</v>
      </c>
      <c r="H5" s="393"/>
    </row>
    <row r="6" spans="1:8" x14ac:dyDescent="0.25">
      <c r="A6" s="501"/>
      <c r="B6" s="501"/>
      <c r="C6" s="501"/>
      <c r="D6" s="501"/>
      <c r="E6" s="503"/>
      <c r="F6" s="503"/>
      <c r="G6" s="171" t="s">
        <v>237</v>
      </c>
      <c r="H6" s="171" t="s">
        <v>238</v>
      </c>
    </row>
    <row r="7" spans="1:8" ht="14.25" customHeight="1" x14ac:dyDescent="0.25">
      <c r="A7" s="385" t="s">
        <v>28</v>
      </c>
      <c r="B7" s="385"/>
      <c r="C7" s="14" t="s">
        <v>279</v>
      </c>
      <c r="D7" s="15" t="s">
        <v>280</v>
      </c>
      <c r="E7" s="16">
        <v>15</v>
      </c>
      <c r="F7" s="170">
        <v>0.1</v>
      </c>
      <c r="G7" s="127">
        <v>0.06</v>
      </c>
      <c r="H7" s="166">
        <f>G7/12</f>
        <v>5.0000000000000001E-3</v>
      </c>
    </row>
    <row r="8" spans="1:8" x14ac:dyDescent="0.25">
      <c r="A8" s="385" t="s">
        <v>39</v>
      </c>
      <c r="B8" s="385"/>
      <c r="C8" s="14" t="s">
        <v>291</v>
      </c>
      <c r="D8" s="15" t="s">
        <v>280</v>
      </c>
      <c r="E8" s="16">
        <v>5</v>
      </c>
      <c r="F8" s="94" t="s">
        <v>174</v>
      </c>
      <c r="G8" s="127">
        <v>0.2</v>
      </c>
      <c r="H8" s="166">
        <f t="shared" ref="H8:H10" si="0">G8/12</f>
        <v>1.6666666666666666E-2</v>
      </c>
    </row>
    <row r="9" spans="1:8" x14ac:dyDescent="0.25">
      <c r="A9" s="385" t="s">
        <v>40</v>
      </c>
      <c r="B9" s="385"/>
      <c r="C9" s="14" t="s">
        <v>282</v>
      </c>
      <c r="D9" s="15" t="s">
        <v>280</v>
      </c>
      <c r="E9" s="16">
        <v>5</v>
      </c>
      <c r="F9" s="94" t="s">
        <v>174</v>
      </c>
      <c r="G9" s="127">
        <v>0.1</v>
      </c>
      <c r="H9" s="166">
        <f t="shared" si="0"/>
        <v>8.3333333333333332E-3</v>
      </c>
    </row>
    <row r="10" spans="1:8" x14ac:dyDescent="0.25">
      <c r="A10" s="385" t="s">
        <v>41</v>
      </c>
      <c r="B10" s="385"/>
      <c r="C10" s="14" t="s">
        <v>283</v>
      </c>
      <c r="D10" s="15" t="s">
        <v>280</v>
      </c>
      <c r="E10" s="16">
        <v>2</v>
      </c>
      <c r="F10" s="94" t="s">
        <v>174</v>
      </c>
      <c r="G10" s="127">
        <v>0.5</v>
      </c>
      <c r="H10" s="166">
        <f t="shared" si="0"/>
        <v>4.1666666666666664E-2</v>
      </c>
    </row>
    <row r="11" spans="1:8" s="30" customFormat="1" ht="15" customHeight="1" x14ac:dyDescent="0.2">
      <c r="A11" s="173">
        <v>2</v>
      </c>
      <c r="B11" s="441" t="s">
        <v>284</v>
      </c>
      <c r="C11" s="441"/>
      <c r="D11" s="441"/>
      <c r="E11" s="441"/>
      <c r="F11" s="441"/>
      <c r="G11" s="441"/>
      <c r="H11" s="441"/>
    </row>
    <row r="12" spans="1:8" s="58" customFormat="1" ht="15" customHeight="1" x14ac:dyDescent="0.2">
      <c r="A12" s="393" t="s">
        <v>22</v>
      </c>
      <c r="B12" s="393"/>
      <c r="C12" s="393"/>
      <c r="D12" s="24" t="s">
        <v>23</v>
      </c>
      <c r="E12" s="24" t="s">
        <v>24</v>
      </c>
      <c r="F12" s="24" t="s">
        <v>23</v>
      </c>
      <c r="G12" s="393" t="s">
        <v>285</v>
      </c>
      <c r="H12" s="393"/>
    </row>
    <row r="13" spans="1:8" x14ac:dyDescent="0.25">
      <c r="A13" s="385" t="s">
        <v>28</v>
      </c>
      <c r="B13" s="385"/>
      <c r="C13" s="14" t="s">
        <v>292</v>
      </c>
      <c r="D13" s="15" t="s">
        <v>196</v>
      </c>
      <c r="E13" s="16">
        <f>'P7 - DESPESA FIXA VEÍCULO'!E5</f>
        <v>1</v>
      </c>
      <c r="F13" s="15" t="s">
        <v>228</v>
      </c>
      <c r="G13" s="499">
        <f>'P7 - DESPESA FIXA VEÍCULO'!E29</f>
        <v>1000</v>
      </c>
      <c r="H13" s="499"/>
    </row>
    <row r="14" spans="1:8" x14ac:dyDescent="0.25">
      <c r="A14" s="394"/>
      <c r="B14" s="395"/>
      <c r="C14" s="395"/>
      <c r="D14" s="395"/>
      <c r="E14" s="395"/>
      <c r="F14" s="395"/>
      <c r="G14" s="395"/>
      <c r="H14" s="396"/>
    </row>
    <row r="15" spans="1:8" ht="15" customHeight="1" x14ac:dyDescent="0.25">
      <c r="A15" s="24" t="s">
        <v>52</v>
      </c>
      <c r="B15" s="393" t="s">
        <v>295</v>
      </c>
      <c r="C15" s="393"/>
      <c r="D15" s="393"/>
      <c r="E15" s="393"/>
      <c r="F15" s="393"/>
      <c r="G15" s="393"/>
      <c r="H15" s="393"/>
    </row>
    <row r="16" spans="1:8" ht="15" customHeight="1" x14ac:dyDescent="0.25">
      <c r="A16" s="20">
        <v>1</v>
      </c>
      <c r="B16" s="384" t="s">
        <v>286</v>
      </c>
      <c r="C16" s="384"/>
      <c r="D16" s="384"/>
      <c r="E16" s="384"/>
      <c r="F16" s="384"/>
      <c r="G16" s="384"/>
      <c r="H16" s="384"/>
    </row>
    <row r="17" spans="1:8" s="30" customFormat="1" ht="15" customHeight="1" x14ac:dyDescent="0.2">
      <c r="A17" s="393" t="s">
        <v>231</v>
      </c>
      <c r="B17" s="393"/>
      <c r="C17" s="393"/>
      <c r="D17" s="393" t="s">
        <v>233</v>
      </c>
      <c r="E17" s="393"/>
      <c r="F17" s="482" t="s">
        <v>294</v>
      </c>
      <c r="G17" s="500" t="s">
        <v>235</v>
      </c>
      <c r="H17" s="482" t="s">
        <v>236</v>
      </c>
    </row>
    <row r="18" spans="1:8" s="30" customFormat="1" ht="15" customHeight="1" x14ac:dyDescent="0.2">
      <c r="A18" s="393"/>
      <c r="B18" s="393"/>
      <c r="C18" s="393"/>
      <c r="D18" s="24" t="s">
        <v>237</v>
      </c>
      <c r="E18" s="24" t="s">
        <v>238</v>
      </c>
      <c r="F18" s="482"/>
      <c r="G18" s="482"/>
      <c r="H18" s="482"/>
    </row>
    <row r="19" spans="1:8" x14ac:dyDescent="0.25">
      <c r="A19" s="385" t="s">
        <v>28</v>
      </c>
      <c r="B19" s="385"/>
      <c r="C19" s="14" t="s">
        <v>292</v>
      </c>
      <c r="D19" s="127">
        <f>G7</f>
        <v>0.06</v>
      </c>
      <c r="E19" s="166">
        <f>H7</f>
        <v>5.0000000000000001E-3</v>
      </c>
      <c r="F19" s="167">
        <f>'P7 - DESPESA FIXA VEÍCULO'!E18</f>
        <v>57328</v>
      </c>
      <c r="G19" s="168">
        <f>F19*E19</f>
        <v>286.64</v>
      </c>
      <c r="H19" s="169">
        <f>G19/G13</f>
        <v>0.28664000000000001</v>
      </c>
    </row>
    <row r="20" spans="1:8" x14ac:dyDescent="0.25">
      <c r="A20" s="447"/>
      <c r="B20" s="447"/>
      <c r="C20" s="447"/>
      <c r="D20" s="447"/>
      <c r="E20" s="447"/>
      <c r="F20" s="481" t="s">
        <v>227</v>
      </c>
      <c r="G20" s="481"/>
      <c r="H20" s="174">
        <f>G13</f>
        <v>1000</v>
      </c>
    </row>
    <row r="21" spans="1:8" x14ac:dyDescent="0.25">
      <c r="A21" s="447"/>
      <c r="B21" s="447"/>
      <c r="C21" s="447"/>
      <c r="D21" s="447"/>
      <c r="E21" s="447"/>
      <c r="F21" s="480" t="s">
        <v>303</v>
      </c>
      <c r="G21" s="480"/>
      <c r="H21" s="175">
        <f>H19*H20</f>
        <v>286.64</v>
      </c>
    </row>
    <row r="22" spans="1:8" x14ac:dyDescent="0.25">
      <c r="A22" s="447"/>
      <c r="B22" s="447"/>
      <c r="C22" s="447"/>
      <c r="D22" s="447"/>
      <c r="E22" s="447"/>
      <c r="F22" s="483" t="s">
        <v>289</v>
      </c>
      <c r="G22" s="484"/>
      <c r="H22" s="178">
        <v>12</v>
      </c>
    </row>
    <row r="23" spans="1:8" x14ac:dyDescent="0.25">
      <c r="A23" s="485"/>
      <c r="B23" s="485"/>
      <c r="C23" s="485"/>
      <c r="D23" s="485"/>
      <c r="E23" s="485"/>
      <c r="F23" s="486" t="s">
        <v>304</v>
      </c>
      <c r="G23" s="487"/>
      <c r="H23" s="179">
        <f>H21*H22</f>
        <v>3439.68</v>
      </c>
    </row>
    <row r="24" spans="1:8" s="1" customFormat="1" ht="15" customHeight="1" x14ac:dyDescent="0.25">
      <c r="A24" s="176">
        <v>2</v>
      </c>
      <c r="B24" s="441" t="s">
        <v>281</v>
      </c>
      <c r="C24" s="441"/>
      <c r="D24" s="441"/>
      <c r="E24" s="441"/>
      <c r="F24" s="441"/>
      <c r="G24" s="441"/>
      <c r="H24" s="441"/>
    </row>
    <row r="25" spans="1:8" s="1" customFormat="1" ht="15" customHeight="1" x14ac:dyDescent="0.25">
      <c r="A25" s="393" t="s">
        <v>22</v>
      </c>
      <c r="B25" s="393"/>
      <c r="C25" s="393"/>
      <c r="D25" s="488" t="s">
        <v>232</v>
      </c>
      <c r="E25" s="393" t="s">
        <v>233</v>
      </c>
      <c r="F25" s="393"/>
      <c r="G25" s="482" t="s">
        <v>297</v>
      </c>
      <c r="H25" s="482" t="s">
        <v>298</v>
      </c>
    </row>
    <row r="26" spans="1:8" s="1" customFormat="1" ht="15" customHeight="1" x14ac:dyDescent="0.25">
      <c r="A26" s="393"/>
      <c r="B26" s="393"/>
      <c r="C26" s="393"/>
      <c r="D26" s="460"/>
      <c r="E26" s="24" t="s">
        <v>237</v>
      </c>
      <c r="F26" s="24" t="s">
        <v>238</v>
      </c>
      <c r="G26" s="482"/>
      <c r="H26" s="482"/>
    </row>
    <row r="27" spans="1:8" s="1" customFormat="1" x14ac:dyDescent="0.25">
      <c r="A27" s="385" t="str">
        <f>'P3-INVESTIMENTOS INICIAIS'!A18:B18</f>
        <v>a.</v>
      </c>
      <c r="B27" s="385"/>
      <c r="C27" s="14" t="str">
        <f>'P3-INVESTIMENTOS INICIAIS'!C18</f>
        <v>P.O.S. Móvel</v>
      </c>
      <c r="D27" s="15" t="s">
        <v>280</v>
      </c>
      <c r="E27" s="127">
        <f>$G$8</f>
        <v>0.2</v>
      </c>
      <c r="F27" s="166">
        <f>$H$8</f>
        <v>1.6666666666666666E-2</v>
      </c>
      <c r="G27" s="126">
        <f>'P3-INVESTIMENTOS INICIAIS'!F18</f>
        <v>64800</v>
      </c>
      <c r="H27" s="126">
        <f>G27*F27</f>
        <v>1080</v>
      </c>
    </row>
    <row r="28" spans="1:8" s="1" customFormat="1" x14ac:dyDescent="0.25">
      <c r="A28" s="385" t="str">
        <f>'P3-INVESTIMENTOS INICIAIS'!A19:B19</f>
        <v>b.</v>
      </c>
      <c r="B28" s="385"/>
      <c r="C28" s="14" t="str">
        <f>'P3-INVESTIMENTOS INICIAIS'!C19</f>
        <v>Computador</v>
      </c>
      <c r="D28" s="15" t="s">
        <v>280</v>
      </c>
      <c r="E28" s="127">
        <f t="shared" ref="E28:E33" si="1">$G$8</f>
        <v>0.2</v>
      </c>
      <c r="F28" s="166">
        <f t="shared" ref="F28:F33" si="2">$H$8</f>
        <v>1.6666666666666666E-2</v>
      </c>
      <c r="G28" s="126">
        <f>'P3-INVESTIMENTOS INICIAIS'!F19</f>
        <v>13500</v>
      </c>
      <c r="H28" s="126">
        <f t="shared" ref="H28:H33" si="3">G28*F28</f>
        <v>225</v>
      </c>
    </row>
    <row r="29" spans="1:8" s="1" customFormat="1" x14ac:dyDescent="0.25">
      <c r="A29" s="385" t="str">
        <f>'P3-INVESTIMENTOS INICIAIS'!A20:B20</f>
        <v>c.</v>
      </c>
      <c r="B29" s="385"/>
      <c r="C29" s="14" t="str">
        <f>'P3-INVESTIMENTOS INICIAIS'!C20</f>
        <v>Nobreak (1500VA)</v>
      </c>
      <c r="D29" s="15" t="s">
        <v>280</v>
      </c>
      <c r="E29" s="127">
        <f t="shared" si="1"/>
        <v>0.2</v>
      </c>
      <c r="F29" s="166">
        <f t="shared" si="2"/>
        <v>1.6666666666666666E-2</v>
      </c>
      <c r="G29" s="126">
        <f>'P3-INVESTIMENTOS INICIAIS'!F20</f>
        <v>4500</v>
      </c>
      <c r="H29" s="126">
        <f t="shared" si="3"/>
        <v>75</v>
      </c>
    </row>
    <row r="30" spans="1:8" s="1" customFormat="1" x14ac:dyDescent="0.25">
      <c r="A30" s="385" t="str">
        <f>'P3-INVESTIMENTOS INICIAIS'!A21:B21</f>
        <v>d.</v>
      </c>
      <c r="B30" s="385"/>
      <c r="C30" s="14" t="str">
        <f>'P3-INVESTIMENTOS INICIAIS'!C21</f>
        <v>Impressora Multifuncional</v>
      </c>
      <c r="D30" s="15" t="s">
        <v>280</v>
      </c>
      <c r="E30" s="127">
        <f t="shared" si="1"/>
        <v>0.2</v>
      </c>
      <c r="F30" s="166">
        <f t="shared" si="2"/>
        <v>1.6666666666666666E-2</v>
      </c>
      <c r="G30" s="126">
        <f>'P3-INVESTIMENTOS INICIAIS'!F21</f>
        <v>5000</v>
      </c>
      <c r="H30" s="126">
        <f t="shared" si="3"/>
        <v>83.333333333333329</v>
      </c>
    </row>
    <row r="31" spans="1:8" s="1" customFormat="1" x14ac:dyDescent="0.25">
      <c r="A31" s="385" t="str">
        <f>'P3-INVESTIMENTOS INICIAIS'!A22:B22</f>
        <v>e.</v>
      </c>
      <c r="B31" s="385"/>
      <c r="C31" s="14" t="str">
        <f>'P3-INVESTIMENTOS INICIAIS'!C22</f>
        <v>Licença de Softwares</v>
      </c>
      <c r="D31" s="15" t="s">
        <v>280</v>
      </c>
      <c r="E31" s="127">
        <f t="shared" si="1"/>
        <v>0.2</v>
      </c>
      <c r="F31" s="166">
        <f t="shared" si="2"/>
        <v>1.6666666666666666E-2</v>
      </c>
      <c r="G31" s="126">
        <f>'P3-INVESTIMENTOS INICIAIS'!F22</f>
        <v>6000</v>
      </c>
      <c r="H31" s="126">
        <f t="shared" si="3"/>
        <v>100</v>
      </c>
    </row>
    <row r="32" spans="1:8" s="1" customFormat="1" x14ac:dyDescent="0.25">
      <c r="A32" s="385" t="str">
        <f>'P3-INVESTIMENTOS INICIAIS'!A23:B23</f>
        <v>f.</v>
      </c>
      <c r="B32" s="385"/>
      <c r="C32" s="14" t="str">
        <f>'P3-INVESTIMENTOS INICIAIS'!C23</f>
        <v>Servidor Local</v>
      </c>
      <c r="D32" s="15" t="s">
        <v>280</v>
      </c>
      <c r="E32" s="127">
        <f t="shared" si="1"/>
        <v>0.2</v>
      </c>
      <c r="F32" s="166">
        <f t="shared" si="2"/>
        <v>1.6666666666666666E-2</v>
      </c>
      <c r="G32" s="126">
        <f>'P3-INVESTIMENTOS INICIAIS'!F23</f>
        <v>15000</v>
      </c>
      <c r="H32" s="126">
        <f t="shared" si="3"/>
        <v>250</v>
      </c>
    </row>
    <row r="33" spans="1:8" s="1" customFormat="1" x14ac:dyDescent="0.25">
      <c r="A33" s="385" t="str">
        <f>'P3-INVESTIMENTOS INICIAIS'!A24:B24</f>
        <v>g.</v>
      </c>
      <c r="B33" s="385"/>
      <c r="C33" s="14" t="str">
        <f>'P3-INVESTIMENTOS INICIAIS'!C24</f>
        <v>Central Telefônica com gravação</v>
      </c>
      <c r="D33" s="15" t="s">
        <v>280</v>
      </c>
      <c r="E33" s="127">
        <f t="shared" si="1"/>
        <v>0.2</v>
      </c>
      <c r="F33" s="166">
        <f t="shared" si="2"/>
        <v>1.6666666666666666E-2</v>
      </c>
      <c r="G33" s="126">
        <f>'P3-INVESTIMENTOS INICIAIS'!F24</f>
        <v>4800</v>
      </c>
      <c r="H33" s="126">
        <f t="shared" si="3"/>
        <v>80</v>
      </c>
    </row>
    <row r="34" spans="1:8" s="1" customFormat="1" x14ac:dyDescent="0.25">
      <c r="A34" s="489"/>
      <c r="B34" s="490"/>
      <c r="C34" s="490"/>
      <c r="D34" s="490"/>
      <c r="E34" s="491"/>
      <c r="F34" s="480" t="s">
        <v>303</v>
      </c>
      <c r="G34" s="480"/>
      <c r="H34" s="175">
        <f>SUM(H27:H33)</f>
        <v>1893.3333333333333</v>
      </c>
    </row>
    <row r="35" spans="1:8" s="1" customFormat="1" x14ac:dyDescent="0.25">
      <c r="A35" s="492"/>
      <c r="B35" s="493"/>
      <c r="C35" s="493"/>
      <c r="D35" s="493"/>
      <c r="E35" s="494"/>
      <c r="F35" s="481" t="s">
        <v>289</v>
      </c>
      <c r="G35" s="481"/>
      <c r="H35" s="178">
        <v>12</v>
      </c>
    </row>
    <row r="36" spans="1:8" s="1" customFormat="1" x14ac:dyDescent="0.25">
      <c r="A36" s="492"/>
      <c r="B36" s="493"/>
      <c r="C36" s="493"/>
      <c r="D36" s="493"/>
      <c r="E36" s="494"/>
      <c r="F36" s="498" t="s">
        <v>304</v>
      </c>
      <c r="G36" s="498"/>
      <c r="H36" s="175">
        <f>H34*H35</f>
        <v>22720</v>
      </c>
    </row>
    <row r="37" spans="1:8" s="45" customFormat="1" ht="15" customHeight="1" x14ac:dyDescent="0.25">
      <c r="A37" s="176">
        <v>3</v>
      </c>
      <c r="B37" s="441" t="s">
        <v>299</v>
      </c>
      <c r="C37" s="441"/>
      <c r="D37" s="441"/>
      <c r="E37" s="441"/>
      <c r="F37" s="441"/>
      <c r="G37" s="441"/>
      <c r="H37" s="441"/>
    </row>
    <row r="38" spans="1:8" s="1" customFormat="1" ht="22.5" customHeight="1" x14ac:dyDescent="0.25">
      <c r="A38" s="393" t="s">
        <v>22</v>
      </c>
      <c r="B38" s="393"/>
      <c r="C38" s="393"/>
      <c r="D38" s="488" t="s">
        <v>232</v>
      </c>
      <c r="E38" s="393" t="s">
        <v>233</v>
      </c>
      <c r="F38" s="393"/>
      <c r="G38" s="482" t="s">
        <v>297</v>
      </c>
      <c r="H38" s="482" t="s">
        <v>298</v>
      </c>
    </row>
    <row r="39" spans="1:8" s="1" customFormat="1" ht="15" customHeight="1" x14ac:dyDescent="0.25">
      <c r="A39" s="393"/>
      <c r="B39" s="393"/>
      <c r="C39" s="393"/>
      <c r="D39" s="460"/>
      <c r="E39" s="24" t="s">
        <v>237</v>
      </c>
      <c r="F39" s="24" t="s">
        <v>238</v>
      </c>
      <c r="G39" s="482"/>
      <c r="H39" s="482"/>
    </row>
    <row r="40" spans="1:8" s="1" customFormat="1" x14ac:dyDescent="0.25">
      <c r="A40" s="385" t="str">
        <f>'P3-INVESTIMENTOS INICIAIS'!A27:B27</f>
        <v>a.</v>
      </c>
      <c r="B40" s="385"/>
      <c r="C40" s="14" t="str">
        <f>'P3-INVESTIMENTOS INICIAIS'!C27</f>
        <v>Sinalização Vertical (placa)</v>
      </c>
      <c r="D40" s="15" t="s">
        <v>280</v>
      </c>
      <c r="E40" s="127">
        <f>G9</f>
        <v>0.1</v>
      </c>
      <c r="F40" s="127">
        <f>H9</f>
        <v>8.3333333333333332E-3</v>
      </c>
      <c r="G40" s="126">
        <f>'P3-INVESTIMENTOS INICIAIS'!F27</f>
        <v>50700</v>
      </c>
      <c r="H40" s="126">
        <f>G40*F40</f>
        <v>422.5</v>
      </c>
    </row>
    <row r="41" spans="1:8" s="1" customFormat="1" x14ac:dyDescent="0.25">
      <c r="A41" s="385" t="str">
        <f>'P3-INVESTIMENTOS INICIAIS'!A28:B28</f>
        <v>b.</v>
      </c>
      <c r="B41" s="385"/>
      <c r="C41" s="14" t="str">
        <f>'P3-INVESTIMENTOS INICIAIS'!C28</f>
        <v>Sinalização Horizontal (m² )</v>
      </c>
      <c r="D41" s="15" t="s">
        <v>280</v>
      </c>
      <c r="E41" s="127">
        <f>G10</f>
        <v>0.5</v>
      </c>
      <c r="F41" s="127">
        <f>H10</f>
        <v>4.1666666666666664E-2</v>
      </c>
      <c r="G41" s="126">
        <f>'P3-INVESTIMENTOS INICIAIS'!F28</f>
        <v>137390</v>
      </c>
      <c r="H41" s="126">
        <f>G41*F41</f>
        <v>5724.583333333333</v>
      </c>
    </row>
    <row r="42" spans="1:8" s="1" customFormat="1" x14ac:dyDescent="0.25">
      <c r="A42" s="490"/>
      <c r="B42" s="490"/>
      <c r="C42" s="490"/>
      <c r="D42" s="490"/>
      <c r="E42" s="491"/>
      <c r="F42" s="479" t="s">
        <v>303</v>
      </c>
      <c r="G42" s="480"/>
      <c r="H42" s="175">
        <f>SUM(H40:H41)</f>
        <v>6147.083333333333</v>
      </c>
    </row>
    <row r="43" spans="1:8" s="1" customFormat="1" x14ac:dyDescent="0.25">
      <c r="A43" s="493"/>
      <c r="B43" s="493"/>
      <c r="C43" s="493"/>
      <c r="D43" s="493"/>
      <c r="E43" s="494"/>
      <c r="F43" s="481" t="s">
        <v>289</v>
      </c>
      <c r="G43" s="481"/>
      <c r="H43" s="178">
        <v>12</v>
      </c>
    </row>
    <row r="44" spans="1:8" s="1" customFormat="1" x14ac:dyDescent="0.25">
      <c r="A44" s="493"/>
      <c r="B44" s="493"/>
      <c r="C44" s="493"/>
      <c r="D44" s="493"/>
      <c r="E44" s="494"/>
      <c r="F44" s="498" t="s">
        <v>304</v>
      </c>
      <c r="G44" s="498"/>
      <c r="H44" s="175">
        <f>H42*H43</f>
        <v>73765</v>
      </c>
    </row>
    <row r="46" spans="1:8" x14ac:dyDescent="0.25">
      <c r="F46" s="496" t="s">
        <v>305</v>
      </c>
      <c r="G46" s="496"/>
      <c r="H46" s="180">
        <f>H42+H34+H21</f>
        <v>8327.0566666666655</v>
      </c>
    </row>
    <row r="47" spans="1:8" x14ac:dyDescent="0.25">
      <c r="F47" s="497" t="s">
        <v>289</v>
      </c>
      <c r="G47" s="497"/>
      <c r="H47" s="181">
        <v>12</v>
      </c>
    </row>
    <row r="48" spans="1:8" x14ac:dyDescent="0.25">
      <c r="F48" s="495" t="s">
        <v>306</v>
      </c>
      <c r="G48" s="495"/>
      <c r="H48" s="180">
        <f>H44+H36+H23</f>
        <v>99924.68</v>
      </c>
    </row>
  </sheetData>
  <mergeCells count="64">
    <mergeCell ref="A1:H1"/>
    <mergeCell ref="A5:C6"/>
    <mergeCell ref="D5:D6"/>
    <mergeCell ref="E5:E6"/>
    <mergeCell ref="F5:F6"/>
    <mergeCell ref="G5:H5"/>
    <mergeCell ref="G17:G18"/>
    <mergeCell ref="H17:H18"/>
    <mergeCell ref="A13:B13"/>
    <mergeCell ref="A12:C12"/>
    <mergeCell ref="G12:H12"/>
    <mergeCell ref="A19:B19"/>
    <mergeCell ref="B3:H3"/>
    <mergeCell ref="A2:H2"/>
    <mergeCell ref="B16:H16"/>
    <mergeCell ref="B15:H15"/>
    <mergeCell ref="B4:H4"/>
    <mergeCell ref="B11:H11"/>
    <mergeCell ref="A14:H14"/>
    <mergeCell ref="A7:B7"/>
    <mergeCell ref="A8:B8"/>
    <mergeCell ref="A9:B9"/>
    <mergeCell ref="A10:B10"/>
    <mergeCell ref="G13:H13"/>
    <mergeCell ref="A17:C18"/>
    <mergeCell ref="D17:E17"/>
    <mergeCell ref="F17:F18"/>
    <mergeCell ref="F48:G48"/>
    <mergeCell ref="F46:G46"/>
    <mergeCell ref="A25:C26"/>
    <mergeCell ref="F47:G47"/>
    <mergeCell ref="A38:C39"/>
    <mergeCell ref="A29:B29"/>
    <mergeCell ref="F44:G44"/>
    <mergeCell ref="A42:E44"/>
    <mergeCell ref="F35:G35"/>
    <mergeCell ref="F36:G36"/>
    <mergeCell ref="D38:D39"/>
    <mergeCell ref="E38:F38"/>
    <mergeCell ref="G38:G39"/>
    <mergeCell ref="A32:B32"/>
    <mergeCell ref="A33:B33"/>
    <mergeCell ref="A40:B40"/>
    <mergeCell ref="F22:G22"/>
    <mergeCell ref="F34:G34"/>
    <mergeCell ref="A20:E23"/>
    <mergeCell ref="E25:F25"/>
    <mergeCell ref="B24:H24"/>
    <mergeCell ref="G25:G26"/>
    <mergeCell ref="H25:H26"/>
    <mergeCell ref="A27:B27"/>
    <mergeCell ref="A28:B28"/>
    <mergeCell ref="F20:G20"/>
    <mergeCell ref="F21:G21"/>
    <mergeCell ref="F23:G23"/>
    <mergeCell ref="D25:D26"/>
    <mergeCell ref="A34:E36"/>
    <mergeCell ref="A30:B30"/>
    <mergeCell ref="A31:B31"/>
    <mergeCell ref="A41:B41"/>
    <mergeCell ref="B37:H37"/>
    <mergeCell ref="F42:G42"/>
    <mergeCell ref="F43:G43"/>
    <mergeCell ref="H38:H3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P1-PREMISSAS</vt:lpstr>
      <vt:lpstr>P2-INSUMOS BÁSICOS</vt:lpstr>
      <vt:lpstr>P3-INVESTIMENTOS INICIAIS</vt:lpstr>
      <vt:lpstr>P4-DESPESA COM PESSOAL</vt:lpstr>
      <vt:lpstr>P5 - DESPESA COM BENEFICIO SOCI</vt:lpstr>
      <vt:lpstr>P6-DESPESA GERAL</vt:lpstr>
      <vt:lpstr>P7 - DESPESA FIXA VEÍCULO</vt:lpstr>
      <vt:lpstr>P8-DESPESA VARIAVEL VEÍCULO</vt:lpstr>
      <vt:lpstr>P9-DEPRECIAÇÃO</vt:lpstr>
      <vt:lpstr>P10-ENCARGOS SOCIAS</vt:lpstr>
      <vt:lpstr>P11-FATURAMENTO</vt:lpstr>
      <vt:lpstr>P12-MODAL DE PAGAMENTO</vt:lpstr>
      <vt:lpstr>P13-CUSTO DO SERVIÇO</vt:lpstr>
      <vt:lpstr>P14-FLUXO DE CAIXA PROJETADO</vt:lpstr>
      <vt:lpstr>P15 - WACC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transportes</cp:lastModifiedBy>
  <cp:lastPrinted>2024-09-04T18:06:41Z</cp:lastPrinted>
  <dcterms:created xsi:type="dcterms:W3CDTF">2024-08-29T00:07:30Z</dcterms:created>
  <dcterms:modified xsi:type="dcterms:W3CDTF">2024-09-12T19:05:25Z</dcterms:modified>
</cp:coreProperties>
</file>