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ContentType="image/png" Extension="png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Orçamento Sintético" r:id="rId4"/>
  </sheets>
  <definedNames>
    <definedName name="_xlnm.Print_Titles" localSheetId="0">'repeated header'!$4:$4</definedName>
  </definedNames>
</workbook>
</file>

<file path=xl/styles.xml><?xml version="1.0" encoding="utf-8"?>
<styleSheet xmlns="http://schemas.openxmlformats.org/spreadsheetml/2006/main">
  <numFmts count="25">
    <numFmt numFmtId="100" formatCode="yyyy/mm/dd"/>
    <numFmt numFmtId="101" formatCode="yyyy/mm/dd hh:mm:ss"/>
    <numFmt numFmtId="102" formatCode="#,##0.00"/>
    <numFmt numFmtId="103" formatCode="#,##0.00 %"/>
    <numFmt numFmtId="104" formatCode="#,##0.00"/>
    <numFmt numFmtId="105" formatCode="#,##0.00 %"/>
    <numFmt numFmtId="106" formatCode="#,##0.0000"/>
    <numFmt numFmtId="107" formatCode="#,##0.0000000"/>
    <numFmt numFmtId="108" formatCode="#,##0.00"/>
    <numFmt numFmtId="109" formatCode="#,##0.00 %"/>
    <numFmt numFmtId="110" formatCode="#,##0.0000"/>
    <numFmt numFmtId="111" formatCode="#,##0.0000000"/>
    <numFmt numFmtId="112" formatCode="#,##0.00"/>
    <numFmt numFmtId="113" formatCode="#,##0.00 %"/>
    <numFmt numFmtId="114" formatCode="#,##0.0000"/>
    <numFmt numFmtId="115" formatCode="#,##0.0000000"/>
    <numFmt numFmtId="116" formatCode="#,##0.00"/>
    <numFmt numFmtId="117" formatCode="#,##0.00 %"/>
    <numFmt numFmtId="118" formatCode="#,##0.0000"/>
    <numFmt numFmtId="119" formatCode="#,##0.0000000"/>
    <numFmt numFmtId="120" formatCode="#,##0.00"/>
    <numFmt numFmtId="121" formatCode="#,##0.0000"/>
    <numFmt numFmtId="122" formatCode="#,##0.0000000"/>
    <numFmt numFmtId="123" formatCode="#,##0.00 %"/>
    <numFmt numFmtId="124" formatCode="#,##0.00"/>
  </numFmts>
  <fonts count="72">
    <font>
      <name val="Arial"/>
      <sz val="11"/>
      <family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</fonts>
  <fills count="7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</fills>
  <borders count="5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top style="thick">
        <color rgb="FF000000"/>
      </top>
    </border>
    <border>
      <top style="thick">
        <color rgb="FF000000"/>
      </top>
    </border>
    <border>
      <top style="thick">
        <color rgb="FF000000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bottom style="thick">
        <color rgb="FFFF5500"/>
      </bottom>
    </border>
    <border>
      <bottom style="thick">
        <color rgb="FF0092F6"/>
      </bottom>
    </border>
    <border>
      <bottom style="thick">
        <color rgb="FFFF5500"/>
      </bottom>
    </border>
    <border>
      <bottom style="thick">
        <color rgb="FFFF5500"/>
      </bottom>
    </border>
  </borders>
  <cellStyleXfs count="1">
    <xf borderId="0" numFmtId="0" fontId="0" fillId="0"/>
  </cellStyleXfs>
  <cellXfs count="74">
    <xf borderId="0" numFmtId="0" fontId="0" fillId="0" xfId="0"/>
    <xf borderId="1" numFmtId="0" fontId="0" fillId="0" xfId="0"/>
    <xf borderId="0" numFmtId="14" fontId="0" fillId="0" xfId="0" applyNumberFormat="1"/>
    <xf borderId="0" numFmtId="0" fontId="1" fillId="2" applyNumberFormat="0" applyFill="1" applyFont="1" applyBorder="0" applyAlignment="1" applyProtection="0">
      <alignment horizontal="left" vertical="top" wrapText="1"/>
    </xf>
    <xf borderId="0" numFmtId="0" fontId="2" fillId="3" applyNumberFormat="0" applyFill="1" applyFont="1" applyBorder="0" applyAlignment="1" applyProtection="0">
      <alignment horizontal="center" vertical="bottom" wrapText="1"/>
    </xf>
    <xf borderId="2" numFmtId="0" fontId="3" fillId="4" applyNumberFormat="0" applyFill="1" applyFont="1" applyBorder="1" applyAlignment="1" applyProtection="0">
      <alignment horizontal="left" vertical="top" wrapText="1"/>
    </xf>
    <xf borderId="3" numFmtId="0" fontId="4" fillId="5" applyNumberFormat="0" applyFill="1" applyFont="1" applyBorder="1" applyAlignment="1" applyProtection="0">
      <alignment horizontal="center" vertical="top" wrapText="1"/>
    </xf>
    <xf borderId="4" numFmtId="0" fontId="5" fillId="6" applyNumberFormat="0" applyFill="1" applyFont="1" applyBorder="1" applyAlignment="1" applyProtection="0">
      <alignment horizontal="right" vertical="top" wrapText="1"/>
    </xf>
    <xf borderId="5" numFmtId="0" fontId="6" fillId="7" applyNumberFormat="0" applyFill="1" applyFont="1" applyBorder="1" applyAlignment="1" applyProtection="0">
      <alignment horizontal="left" vertical="top" wrapText="1"/>
    </xf>
    <xf borderId="6" numFmtId="0" fontId="7" fillId="8" applyNumberFormat="0" applyFill="1" applyFont="1" applyBorder="1" applyAlignment="1" applyProtection="0">
      <alignment horizontal="center" vertical="top" wrapText="1"/>
    </xf>
    <xf borderId="7" numFmtId="0" fontId="8" fillId="9" applyNumberFormat="0" applyFill="1" applyFont="1" applyBorder="1" applyAlignment="1" applyProtection="0">
      <alignment horizontal="right" vertical="top" wrapText="1"/>
    </xf>
    <xf borderId="8" numFmtId="102" fontId="9" fillId="10" applyNumberFormat="1" applyFill="1" applyFont="1" applyBorder="1" applyAlignment="1" applyProtection="0">
      <alignment horizontal="right" vertical="top" wrapText="1"/>
    </xf>
    <xf borderId="9" numFmtId="103" fontId="10" fillId="11" applyNumberFormat="1" applyFill="1" applyFont="1" applyBorder="1" applyAlignment="1" applyProtection="0">
      <alignment horizontal="right" vertical="top" wrapText="1"/>
    </xf>
    <xf borderId="10" numFmtId="0" fontId="11" fillId="12" applyNumberFormat="0" applyFill="1" applyFont="1" applyBorder="1" applyAlignment="1" applyProtection="0">
      <alignment horizontal="left" vertical="top" wrapText="1"/>
    </xf>
    <xf borderId="11" numFmtId="0" fontId="12" fillId="13" applyNumberFormat="0" applyFill="1" applyFont="1" applyBorder="1" applyAlignment="1" applyProtection="0">
      <alignment horizontal="center" vertical="top" wrapText="1"/>
    </xf>
    <xf borderId="12" numFmtId="0" fontId="13" fillId="14" applyNumberFormat="0" applyFill="1" applyFont="1" applyBorder="1" applyAlignment="1" applyProtection="0">
      <alignment horizontal="right" vertical="top" wrapText="1"/>
    </xf>
    <xf borderId="13" numFmtId="0" fontId="14" fillId="15" applyNumberFormat="0" applyFill="1" applyFont="1" applyBorder="1" applyAlignment="1" applyProtection="0">
      <alignment horizontal="left" vertical="top" wrapText="1"/>
    </xf>
    <xf borderId="14" numFmtId="0" fontId="15" fillId="16" applyNumberFormat="0" applyFill="1" applyFont="1" applyBorder="1" applyAlignment="1" applyProtection="0">
      <alignment horizontal="center" vertical="top" wrapText="1"/>
    </xf>
    <xf borderId="15" numFmtId="0" fontId="16" fillId="17" applyNumberFormat="0" applyFill="1" applyFont="1" applyBorder="1" applyAlignment="1" applyProtection="0">
      <alignment horizontal="right" vertical="top" wrapText="1"/>
    </xf>
    <xf borderId="16" numFmtId="104" fontId="17" fillId="18" applyNumberFormat="1" applyFill="1" applyFont="1" applyBorder="1" applyAlignment="1" applyProtection="0">
      <alignment horizontal="right" vertical="top" wrapText="1"/>
    </xf>
    <xf borderId="17" numFmtId="105" fontId="18" fillId="19" applyNumberFormat="1" applyFill="1" applyFont="1" applyBorder="1" applyAlignment="1" applyProtection="0">
      <alignment horizontal="right" vertical="top" wrapText="1"/>
    </xf>
    <xf borderId="18" numFmtId="106" fontId="19" fillId="20" applyNumberFormat="1" applyFill="1" applyFont="1" applyBorder="1" applyAlignment="1" applyProtection="0">
      <alignment horizontal="right" vertical="top" wrapText="1"/>
    </xf>
    <xf borderId="19" numFmtId="107" fontId="20" fillId="21" applyNumberFormat="1" applyFill="1" applyFont="1" applyBorder="1" applyAlignment="1" applyProtection="0">
      <alignment horizontal="right" vertical="top" wrapText="1"/>
    </xf>
    <xf borderId="20" numFmtId="0" fontId="21" fillId="22" applyNumberFormat="0" applyFill="1" applyFont="1" applyBorder="1" applyAlignment="1" applyProtection="0">
      <alignment horizontal="right" vertical="top" wrapText="1"/>
    </xf>
    <xf borderId="21" numFmtId="0" fontId="22" fillId="23" applyNumberFormat="0" applyFill="1" applyFont="1" applyBorder="1" applyAlignment="1" applyProtection="0">
      <alignment horizontal="left" vertical="top" wrapText="1"/>
    </xf>
    <xf borderId="22" numFmtId="0" fontId="23" fillId="24" applyNumberFormat="0" applyFill="1" applyFont="1" applyBorder="1" applyAlignment="1" applyProtection="0">
      <alignment horizontal="center" vertical="top" wrapText="1"/>
    </xf>
    <xf borderId="23" numFmtId="0" fontId="24" fillId="25" applyNumberFormat="0" applyFill="1" applyFont="1" applyBorder="1" applyAlignment="1" applyProtection="0">
      <alignment horizontal="right" vertical="top" wrapText="1"/>
    </xf>
    <xf borderId="24" numFmtId="0" fontId="25" fillId="26" applyNumberFormat="0" applyFill="1" applyFont="1" applyBorder="1" applyAlignment="1" applyProtection="0">
      <alignment horizontal="left" vertical="top" wrapText="1"/>
    </xf>
    <xf borderId="25" numFmtId="0" fontId="26" fillId="27" applyNumberFormat="0" applyFill="1" applyFont="1" applyBorder="1" applyAlignment="1" applyProtection="0">
      <alignment horizontal="center" vertical="top" wrapText="1"/>
    </xf>
    <xf borderId="26" numFmtId="0" fontId="27" fillId="28" applyNumberFormat="0" applyFill="1" applyFont="1" applyBorder="1" applyAlignment="1" applyProtection="0">
      <alignment horizontal="right" vertical="top" wrapText="1"/>
    </xf>
    <xf borderId="27" numFmtId="0" fontId="28" fillId="29" applyNumberFormat="0" applyFill="1" applyFont="1" applyBorder="1" applyAlignment="1" applyProtection="0">
      <alignment horizontal="left" vertical="top" wrapText="1"/>
    </xf>
    <xf borderId="28" numFmtId="0" fontId="29" fillId="30" applyNumberFormat="0" applyFill="1" applyFont="1" applyBorder="1" applyAlignment="1" applyProtection="0">
      <alignment horizontal="center" vertical="top" wrapText="1"/>
    </xf>
    <xf borderId="29" numFmtId="0" fontId="30" fillId="31" applyNumberFormat="0" applyFill="1" applyFont="1" applyBorder="1" applyAlignment="1" applyProtection="0">
      <alignment horizontal="right" vertical="top" wrapText="1"/>
    </xf>
    <xf borderId="30" numFmtId="108" fontId="31" fillId="32" applyNumberFormat="1" applyFill="1" applyFont="1" applyBorder="1" applyAlignment="1" applyProtection="0">
      <alignment horizontal="right" vertical="top" wrapText="1"/>
    </xf>
    <xf borderId="31" numFmtId="109" fontId="32" fillId="33" applyNumberFormat="1" applyFill="1" applyFont="1" applyBorder="1" applyAlignment="1" applyProtection="0">
      <alignment horizontal="right" vertical="top" wrapText="1"/>
    </xf>
    <xf borderId="32" numFmtId="110" fontId="33" fillId="34" applyNumberFormat="1" applyFill="1" applyFont="1" applyBorder="1" applyAlignment="1" applyProtection="0">
      <alignment horizontal="right" vertical="top" wrapText="1"/>
    </xf>
    <xf borderId="33" numFmtId="111" fontId="34" fillId="35" applyNumberFormat="1" applyFill="1" applyFont="1" applyBorder="1" applyAlignment="1" applyProtection="0">
      <alignment horizontal="right" vertical="top" wrapText="1"/>
    </xf>
    <xf borderId="34" numFmtId="0" fontId="35" fillId="36" applyNumberFormat="0" applyFill="1" applyFont="1" applyBorder="1" applyAlignment="1" applyProtection="0">
      <alignment horizontal="left" vertical="top" wrapText="1"/>
    </xf>
    <xf borderId="35" numFmtId="0" fontId="36" fillId="37" applyNumberFormat="0" applyFill="1" applyFont="1" applyBorder="1" applyAlignment="1" applyProtection="0">
      <alignment horizontal="center" vertical="top" wrapText="1"/>
    </xf>
    <xf borderId="36" numFmtId="0" fontId="37" fillId="38" applyNumberFormat="0" applyFill="1" applyFont="1" applyBorder="1" applyAlignment="1" applyProtection="0">
      <alignment horizontal="right" vertical="top" wrapText="1"/>
    </xf>
    <xf borderId="37" numFmtId="112" fontId="38" fillId="39" applyNumberFormat="1" applyFill="1" applyFont="1" applyBorder="1" applyAlignment="1" applyProtection="0">
      <alignment horizontal="right" vertical="top" wrapText="1"/>
    </xf>
    <xf borderId="38" numFmtId="113" fontId="39" fillId="40" applyNumberFormat="1" applyFill="1" applyFont="1" applyBorder="1" applyAlignment="1" applyProtection="0">
      <alignment horizontal="right" vertical="top" wrapText="1"/>
    </xf>
    <xf borderId="39" numFmtId="114" fontId="40" fillId="41" applyNumberFormat="1" applyFill="1" applyFont="1" applyBorder="1" applyAlignment="1" applyProtection="0">
      <alignment horizontal="right" vertical="top" wrapText="1"/>
    </xf>
    <xf borderId="40" numFmtId="115" fontId="41" fillId="42" applyNumberFormat="1" applyFill="1" applyFont="1" applyBorder="1" applyAlignment="1" applyProtection="0">
      <alignment horizontal="right" vertical="top" wrapText="1"/>
    </xf>
    <xf borderId="41" numFmtId="0" fontId="42" fillId="43" applyNumberFormat="0" applyFill="1" applyFont="1" applyBorder="1" applyAlignment="1" applyProtection="0">
      <alignment horizontal="left" vertical="top" wrapText="1"/>
    </xf>
    <xf borderId="42" numFmtId="0" fontId="43" fillId="44" applyNumberFormat="0" applyFill="1" applyFont="1" applyBorder="1" applyAlignment="1" applyProtection="0">
      <alignment horizontal="center" vertical="top" wrapText="1"/>
    </xf>
    <xf borderId="43" numFmtId="0" fontId="44" fillId="45" applyNumberFormat="0" applyFill="1" applyFont="1" applyBorder="1" applyAlignment="1" applyProtection="0">
      <alignment horizontal="right" vertical="top" wrapText="1"/>
    </xf>
    <xf borderId="44" numFmtId="116" fontId="45" fillId="46" applyNumberFormat="1" applyFill="1" applyFont="1" applyBorder="1" applyAlignment="1" applyProtection="0">
      <alignment horizontal="right" vertical="top" wrapText="1"/>
    </xf>
    <xf borderId="45" numFmtId="117" fontId="46" fillId="47" applyNumberFormat="1" applyFill="1" applyFont="1" applyBorder="1" applyAlignment="1" applyProtection="0">
      <alignment horizontal="right" vertical="top" wrapText="1"/>
    </xf>
    <xf borderId="46" numFmtId="118" fontId="47" fillId="48" applyNumberFormat="1" applyFill="1" applyFont="1" applyBorder="1" applyAlignment="1" applyProtection="0">
      <alignment horizontal="right" vertical="top" wrapText="1"/>
    </xf>
    <xf borderId="47" numFmtId="119" fontId="48" fillId="49" applyNumberFormat="1" applyFill="1" applyFont="1" applyBorder="1" applyAlignment="1" applyProtection="0">
      <alignment horizontal="right" vertical="top" wrapText="1"/>
    </xf>
    <xf borderId="48" numFmtId="0" fontId="49" fillId="50" applyNumberFormat="0" applyFill="1" applyFont="1" applyBorder="1" applyAlignment="1" applyProtection="0">
      <alignment horizontal="right" vertical="top" wrapText="1"/>
    </xf>
    <xf borderId="49" numFmtId="0" fontId="50" fillId="51" applyNumberFormat="0" applyFill="1" applyFont="1" applyBorder="1" applyAlignment="1" applyProtection="0">
      <alignment horizontal="left" vertical="top" wrapText="1"/>
    </xf>
    <xf borderId="50" numFmtId="0" fontId="51" fillId="52" applyNumberFormat="0" applyFill="1" applyFont="1" applyBorder="1" applyAlignment="1" applyProtection="0">
      <alignment horizontal="center" vertical="top" wrapText="1"/>
    </xf>
    <xf borderId="51" numFmtId="0" fontId="52" fillId="53" applyNumberFormat="0" applyFill="1" applyFont="1" applyBorder="1" applyAlignment="1" applyProtection="0">
      <alignment horizontal="right" vertical="top" wrapText="1"/>
    </xf>
    <xf borderId="0" numFmtId="0" fontId="53" fillId="54" applyNumberFormat="0" applyFill="1" applyFont="1" applyBorder="0" applyAlignment="1" applyProtection="0">
      <alignment horizontal="left" vertical="top" wrapText="1"/>
    </xf>
    <xf borderId="0" numFmtId="0" fontId="54" fillId="55" applyNumberFormat="0" applyFill="1" applyFont="1" applyBorder="0" applyAlignment="1" applyProtection="0">
      <alignment horizontal="center" vertical="top" wrapText="1"/>
    </xf>
    <xf borderId="0" numFmtId="0" fontId="55" fillId="56" applyNumberFormat="0" applyFill="1" applyFont="1" applyBorder="0" applyAlignment="1" applyProtection="0">
      <alignment horizontal="right" vertical="top" wrapText="1"/>
    </xf>
    <xf borderId="0" numFmtId="120" fontId="56" fillId="57" applyNumberFormat="1" applyFill="1" applyFont="1" applyBorder="0" applyAlignment="1" applyProtection="0">
      <alignment horizontal="right" vertical="top" wrapText="1"/>
    </xf>
    <xf borderId="0" numFmtId="121" fontId="57" fillId="58" applyNumberFormat="1" applyFill="1" applyFont="1" applyBorder="0" applyAlignment="1" applyProtection="0">
      <alignment horizontal="right" vertical="top" wrapText="1"/>
    </xf>
    <xf borderId="0" numFmtId="122" fontId="58" fillId="59" applyNumberFormat="1" applyFill="1" applyFont="1" applyBorder="0" applyAlignment="1" applyProtection="0">
      <alignment horizontal="right" vertical="top" wrapText="1"/>
    </xf>
    <xf borderId="0" numFmtId="123" fontId="59" fillId="60" applyNumberFormat="1" applyFill="1" applyFont="1" applyBorder="0" applyAlignment="1" applyProtection="0">
      <alignment horizontal="right" vertical="top" wrapText="1"/>
    </xf>
    <xf borderId="0" numFmtId="0" fontId="60" fillId="61" applyNumberFormat="0" applyFill="1" applyFont="1" applyBorder="0" applyAlignment="1" applyProtection="0">
      <alignment horizontal="left" vertical="top" wrapText="1"/>
    </xf>
    <xf borderId="0" numFmtId="0" fontId="61" fillId="62" applyNumberFormat="0" applyFill="1" applyFont="1" applyBorder="0" applyAlignment="1" applyProtection="0">
      <alignment horizontal="center" vertical="top" wrapText="1"/>
    </xf>
    <xf borderId="0" numFmtId="0" fontId="62" fillId="63" applyNumberFormat="0" applyFill="1" applyFont="1" applyBorder="0" applyAlignment="1" applyProtection="0">
      <alignment horizontal="right" vertical="top" wrapText="1"/>
    </xf>
    <xf borderId="0" numFmtId="124" fontId="63" fillId="64" applyNumberFormat="1" applyFill="1" applyFont="1" applyBorder="0" applyAlignment="1" applyProtection="0">
      <alignment horizontal="right" vertical="top" wrapText="1"/>
    </xf>
    <xf borderId="52" numFmtId="0" fontId="64" fillId="65" applyNumberFormat="0" applyFill="1" applyFont="1" applyBorder="1" applyAlignment="1" applyProtection="0">
      <alignment horizontal="left" vertical="top" wrapText="1"/>
    </xf>
    <xf borderId="53" numFmtId="0" fontId="65" fillId="66" applyNumberFormat="0" applyFill="1" applyFont="1" applyBorder="1" applyAlignment="1" applyProtection="0">
      <alignment horizontal="center" vertical="top" wrapText="1"/>
    </xf>
    <xf borderId="54" numFmtId="0" fontId="66" fillId="67" applyNumberFormat="0" applyFill="1" applyFont="1" applyBorder="1" applyAlignment="1" applyProtection="0">
      <alignment horizontal="right" vertical="top" wrapText="1"/>
    </xf>
    <xf borderId="55" numFmtId="0" fontId="67" fillId="68" applyNumberFormat="0" applyFill="1" applyFont="1" applyBorder="1" applyAlignment="1" applyProtection="0">
      <alignment horizontal="right" vertical="top" wrapText="1"/>
    </xf>
    <xf borderId="56" numFmtId="0" fontId="68" fillId="69" applyNumberFormat="0" applyFill="1" applyFont="1" applyBorder="1" applyAlignment="1" applyProtection="0">
      <alignment horizontal="right" vertical="top" wrapText="1"/>
    </xf>
    <xf borderId="57" numFmtId="0" fontId="69" fillId="70" applyNumberFormat="0" applyFill="1" applyFont="1" applyBorder="1" applyAlignment="1" applyProtection="0">
      <alignment horizontal="right" vertical="top" wrapText="1"/>
    </xf>
    <xf borderId="58" numFmtId="0" fontId="70" fillId="71" applyNumberFormat="0" applyFill="1" applyFont="1" applyBorder="1" applyAlignment="1" applyProtection="0">
      <alignment horizontal="right" vertical="top" wrapText="1"/>
    </xf>
    <xf borderId="0" numFmtId="0" fontId="71" fillId="72" applyNumberFormat="0" applyFill="1" applyFont="1" applyBorder="0" applyAlignment="1" applyProtection="0">
      <alignment horizontal="center" wrapText="1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styles.xml" Type="http://schemas.openxmlformats.org/officeDocument/2006/relationships/styles" Id="rId5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6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57275" cy="1333500"/>
    <xdr:pic>
      <xdr:nvPicPr>
        <xdr:cNvPr id="2" name="" descr=""/>
        <xdr:cNvPicPr>
          <a:picLocks noChangeAspect="1" noSelect="1" noMove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7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1"/>
  </sheetPr>
  <dimension ref="A1:A76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10"/>
    <col min="2" max="2" bestFit="1" customWidth="1" width="10"/>
    <col min="3" max="3" bestFit="1" customWidth="1" width="9.9"/>
    <col min="4" max="4" bestFit="1" customWidth="1" width="60"/>
    <col min="5" max="5" bestFit="1" customWidth="1" width="8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</cols>
  <sheetData>
    <row r="1">
      <c r="A1" s="3"/>
      <c r="B1" s="3"/>
      <c r="C1" s="3"/>
      <c r="D1" s="3" t="inlineStr">
        <is>
          <t>Obra</t>
        </is>
      </c>
      <c r="E1" s="3" t="inlineStr">
        <is>
          <t>Bancos</t>
        </is>
      </c>
      <c r="F1" s="3"/>
      <c r="G1" s="3" t="inlineStr">
        <is>
          <t>B.D.I.</t>
        </is>
      </c>
      <c r="H1" s="3"/>
      <c r="I1" s="3" t="inlineStr">
        <is>
          <t>Encargos Sociais</t>
        </is>
      </c>
      <c r="J1" s="3"/>
    </row>
    <row customHeight="1" ht="80" r="2">
      <c r="A2" s="55"/>
      <c r="B2" s="55"/>
      <c r="C2" s="55"/>
      <c r="D2" s="55" t="inlineStr">
        <is>
          <t>Revitalização Praça Nossa Senhora Aparecida</t>
        </is>
      </c>
      <c r="E2" s="55" t="inlineStr">
        <is>
          <t>SINAPI - 11/2019 - Minas Gerais
SBC - 01/2020 - Minas Gerais
SETOP - 08/2019 - Minas Gerais
</t>
        </is>
      </c>
      <c r="F2" s="55"/>
      <c r="G2" s="55" t="inlineStr">
        <is>
          <t>27,0%</t>
        </is>
      </c>
      <c r="H2" s="55"/>
      <c r="I2" s="55" t="inlineStr">
        <is>
          <t>Não Desonerado: embutido nos preços unitário dos insumos de mão de obra, de acordo com as bases.</t>
        </is>
      </c>
      <c r="J2" s="55"/>
    </row>
    <row r="3">
      <c r="A3" s="4" t="inlineStr">
        <is>
          <t>Planilha Orçamentária Sintética</t>
        </is>
      </c>
    </row>
    <row customHeight="1" ht="30" r="4">
      <c r="A4" s="5" t="inlineStr">
        <is>
          <t>Item</t>
        </is>
      </c>
      <c r="B4" s="7" t="inlineStr">
        <is>
          <t>Código</t>
        </is>
      </c>
      <c r="C4" s="5" t="inlineStr">
        <is>
          <t>Banco</t>
        </is>
      </c>
      <c r="D4" s="5" t="inlineStr">
        <is>
          <t>Descrição</t>
        </is>
      </c>
      <c r="E4" s="6" t="inlineStr">
        <is>
          <t>Und</t>
        </is>
      </c>
      <c r="F4" s="7" t="inlineStr">
        <is>
          <t>Quant.</t>
        </is>
      </c>
      <c r="G4" s="7" t="inlineStr">
        <is>
          <t>Valor Unit</t>
        </is>
      </c>
      <c r="H4" s="7" t="inlineStr">
        <is>
          <t>Valor Unit com BDI</t>
        </is>
      </c>
      <c r="I4" s="7" t="inlineStr">
        <is>
          <t>Total</t>
        </is>
      </c>
      <c r="J4" s="7" t="inlineStr">
        <is>
          <t>Peso (%)</t>
        </is>
      </c>
    </row>
    <row customHeight="1" ht="24" r="5">
      <c r="A5" s="8" t="inlineStr">
        <is>
          <t> 1 </t>
        </is>
      </c>
      <c r="B5" s="8"/>
      <c r="C5" s="8"/>
      <c r="D5" s="8" t="inlineStr">
        <is>
          <t>SERVIÇOS PRELIMINARES</t>
        </is>
      </c>
      <c r="E5" s="8"/>
      <c r="F5" s="10"/>
      <c r="G5" s="8"/>
      <c r="H5" s="8"/>
      <c r="I5" s="11" t="n">
        <v>622.12</v>
      </c>
      <c r="J5" s="12" t="str">
        <f>i5 / 150121.96</f>
      </c>
    </row>
    <row customHeight="1" ht="24" r="6">
      <c r="A6" s="16" t="inlineStr">
        <is>
          <t> 1.1 </t>
        </is>
      </c>
      <c r="B6" s="18" t="inlineStr">
        <is>
          <t> 74209/001 </t>
        </is>
      </c>
      <c r="C6" s="16" t="inlineStr">
        <is>
          <t>SINAPI</t>
        </is>
      </c>
      <c r="D6" s="16" t="inlineStr">
        <is>
          <t>PLACA DE OBRA EM CHAPA DE ACO GALVANIZADO</t>
        </is>
      </c>
      <c r="E6" s="17" t="inlineStr">
        <is>
          <t>m²</t>
        </is>
      </c>
      <c r="F6" s="18" t="n">
        <v>1.6</v>
      </c>
      <c r="G6" s="19" t="n">
        <v>306.17</v>
      </c>
      <c r="H6" s="19" t="str">
        <f>TRUNC(G6 * (1 + 27.0 / 100), 2)</f>
      </c>
      <c r="I6" s="19" t="str">
        <f>TRUNC(F6 * h6, 2)</f>
      </c>
      <c r="J6" s="20" t="str">
        <f>i6 / 150121.96</f>
      </c>
    </row>
    <row customHeight="1" ht="24" r="7">
      <c r="A7" s="8" t="inlineStr">
        <is>
          <t> 2 </t>
        </is>
      </c>
      <c r="B7" s="8"/>
      <c r="C7" s="8"/>
      <c r="D7" s="8" t="inlineStr">
        <is>
          <t>INFRAESTRUTURA</t>
        </is>
      </c>
      <c r="E7" s="8"/>
      <c r="F7" s="10"/>
      <c r="G7" s="8"/>
      <c r="H7" s="8"/>
      <c r="I7" s="11" t="n">
        <v>30569.91</v>
      </c>
      <c r="J7" s="12" t="str">
        <f>i7 / 150121.96</f>
      </c>
    </row>
    <row customHeight="1" ht="24" r="8">
      <c r="A8" s="16" t="inlineStr">
        <is>
          <t> 2.1 </t>
        </is>
      </c>
      <c r="B8" s="18" t="inlineStr">
        <is>
          <t> 93358 </t>
        </is>
      </c>
      <c r="C8" s="16" t="inlineStr">
        <is>
          <t>SINAPI</t>
        </is>
      </c>
      <c r="D8" s="16" t="inlineStr">
        <is>
          <t>ESCAVAÇÃO MANUAL DE VALA COM PROFUNDIDADE MENOR OU IGUAL A 1,30 M. AF_03/2016</t>
        </is>
      </c>
      <c r="E8" s="17" t="inlineStr">
        <is>
          <t>m³</t>
        </is>
      </c>
      <c r="F8" s="18" t="n">
        <v>11.04</v>
      </c>
      <c r="G8" s="19" t="n">
        <v>57.28</v>
      </c>
      <c r="H8" s="19" t="str">
        <f>TRUNC(G8 * (1 + 27.0 / 100), 2)</f>
      </c>
      <c r="I8" s="19" t="str">
        <f>TRUNC(F8 * h8, 2)</f>
      </c>
      <c r="J8" s="20" t="str">
        <f>i8 / 150121.96</f>
      </c>
    </row>
    <row customHeight="1" ht="24" r="9">
      <c r="A9" s="16" t="inlineStr">
        <is>
          <t> 2.2 </t>
        </is>
      </c>
      <c r="B9" s="18" t="inlineStr">
        <is>
          <t> TER-API-005 </t>
        </is>
      </c>
      <c r="C9" s="16" t="inlineStr">
        <is>
          <t>SETOP</t>
        </is>
      </c>
      <c r="D9" s="16" t="inlineStr">
        <is>
          <t>APILOAMENTO DO FUNDO DE VALAS COM SOQUETE</t>
        </is>
      </c>
      <c r="E9" s="17" t="inlineStr">
        <is>
          <t>m²</t>
        </is>
      </c>
      <c r="F9" s="18" t="n">
        <v>28.12</v>
      </c>
      <c r="G9" s="19" t="n">
        <v>17.11</v>
      </c>
      <c r="H9" s="19" t="str">
        <f>TRUNC(G9 * (1 + 27.0 / 100), 2)</f>
      </c>
      <c r="I9" s="19" t="str">
        <f>TRUNC(F9 * h9, 2)</f>
      </c>
      <c r="J9" s="20" t="str">
        <f>i9 / 150121.96</f>
      </c>
    </row>
    <row customHeight="1" ht="36" r="10">
      <c r="A10" s="16" t="inlineStr">
        <is>
          <t> 2.3 </t>
        </is>
      </c>
      <c r="B10" s="18" t="inlineStr">
        <is>
          <t> 99059 </t>
        </is>
      </c>
      <c r="C10" s="16" t="inlineStr">
        <is>
          <t>SINAPI</t>
        </is>
      </c>
      <c r="D10" s="16" t="inlineStr">
        <is>
          <t>LOCACAO CONVENCIONAL DE OBRA, UTILIZANDO GABARITO DE TÁBUAS CORRIDAS PONTALETADAS A CADA 2,00M -  2 UTILIZAÇÕES. AF_10/2018</t>
        </is>
      </c>
      <c r="E10" s="17" t="inlineStr">
        <is>
          <t>M</t>
        </is>
      </c>
      <c r="F10" s="18" t="n">
        <v>428.52</v>
      </c>
      <c r="G10" s="19" t="n">
        <v>38.43</v>
      </c>
      <c r="H10" s="19" t="str">
        <f>TRUNC(G10 * (1 + 27.0 / 100), 2)</f>
      </c>
      <c r="I10" s="19" t="str">
        <f>TRUNC(F10 * h10, 2)</f>
      </c>
      <c r="J10" s="20" t="str">
        <f>i10 / 150121.96</f>
      </c>
    </row>
    <row customHeight="1" ht="24" r="11">
      <c r="A11" s="16" t="inlineStr">
        <is>
          <t> 2.4 </t>
        </is>
      </c>
      <c r="B11" s="18" t="inlineStr">
        <is>
          <t> 96546 </t>
        </is>
      </c>
      <c r="C11" s="16" t="inlineStr">
        <is>
          <t>SINAPI</t>
        </is>
      </c>
      <c r="D11" s="16" t="inlineStr">
        <is>
          <t>ARMAÇÃO DE BLOCO, VIGA BALDRAME OU SAPATA UTILIZANDO AÇO CA-50 DE 10 MM - MONTAGEM. AF_06/2017</t>
        </is>
      </c>
      <c r="E11" s="17" t="inlineStr">
        <is>
          <t>KG</t>
        </is>
      </c>
      <c r="F11" s="18" t="n">
        <v>441.6</v>
      </c>
      <c r="G11" s="19" t="n">
        <v>7.8</v>
      </c>
      <c r="H11" s="19" t="str">
        <f>TRUNC(G11 * (1 + 27.0 / 100), 2)</f>
      </c>
      <c r="I11" s="19" t="str">
        <f>TRUNC(F11 * h11, 2)</f>
      </c>
      <c r="J11" s="20" t="str">
        <f>i11 / 150121.96</f>
      </c>
    </row>
    <row customHeight="1" ht="36" r="12">
      <c r="A12" s="16" t="inlineStr">
        <is>
          <t> 2.5 </t>
        </is>
      </c>
      <c r="B12" s="18" t="inlineStr">
        <is>
          <t> 94964 </t>
        </is>
      </c>
      <c r="C12" s="16" t="inlineStr">
        <is>
          <t>SINAPI</t>
        </is>
      </c>
      <c r="D12" s="16" t="inlineStr">
        <is>
          <t>CONCRETO FCK = 20MPA, TRAÇO 1:2,7:3 (CIMENTO/ AREIA MÉDIA/ BRITA 1)  - PREPARO MECÂNICO COM BETONEIRA 400 L. AF_07/2016</t>
        </is>
      </c>
      <c r="E12" s="17" t="inlineStr">
        <is>
          <t>m³</t>
        </is>
      </c>
      <c r="F12" s="18" t="n">
        <v>11.04</v>
      </c>
      <c r="G12" s="19" t="n">
        <v>276.2</v>
      </c>
      <c r="H12" s="19" t="str">
        <f>TRUNC(G12 * (1 + 27.0 / 100), 2)</f>
      </c>
      <c r="I12" s="19" t="str">
        <f>TRUNC(F12 * h12, 2)</f>
      </c>
      <c r="J12" s="20" t="str">
        <f>i12 / 150121.96</f>
      </c>
    </row>
    <row customHeight="1" ht="24" r="13">
      <c r="A13" s="8" t="inlineStr">
        <is>
          <t> 3 </t>
        </is>
      </c>
      <c r="B13" s="8"/>
      <c r="C13" s="8"/>
      <c r="D13" s="8" t="inlineStr">
        <is>
          <t>SUPRAESTRUTURA</t>
        </is>
      </c>
      <c r="E13" s="8"/>
      <c r="F13" s="10"/>
      <c r="G13" s="8"/>
      <c r="H13" s="8"/>
      <c r="I13" s="11" t="n">
        <v>17332.01</v>
      </c>
      <c r="J13" s="12" t="str">
        <f>i13 / 150121.96</f>
      </c>
    </row>
    <row customHeight="1" ht="48" r="14">
      <c r="A14" s="16" t="inlineStr">
        <is>
          <t> 3.1 </t>
        </is>
      </c>
      <c r="B14" s="18" t="inlineStr">
        <is>
          <t> 92775 </t>
        </is>
      </c>
      <c r="C14" s="16" t="inlineStr">
        <is>
          <t>SINAPI</t>
        </is>
      </c>
      <c r="D14" s="16" t="inlineStr">
        <is>
          <t>ARMAÇÃO DE PILAR OU VIGA DE UMA ESTRUTURA CONVENCIONAL DE CONCRETO ARMADO EM UMA EDIFICAÇÃO TÉRREA OU SOBRADO UTILIZANDO AÇO CA-60 DE 5,0 MM - MONTAGEM. AF_12/2015</t>
        </is>
      </c>
      <c r="E14" s="17" t="inlineStr">
        <is>
          <t>KG</t>
        </is>
      </c>
      <c r="F14" s="18" t="n">
        <v>650.0</v>
      </c>
      <c r="G14" s="19" t="n">
        <v>11.97</v>
      </c>
      <c r="H14" s="19" t="str">
        <f>TRUNC(G14 * (1 + 27.0 / 100), 2)</f>
      </c>
      <c r="I14" s="19" t="str">
        <f>TRUNC(F14 * h14, 2)</f>
      </c>
      <c r="J14" s="20" t="str">
        <f>i14 / 150121.96</f>
      </c>
    </row>
    <row customHeight="1" ht="36" r="15">
      <c r="A15" s="16" t="inlineStr">
        <is>
          <t> 3.2 </t>
        </is>
      </c>
      <c r="B15" s="18" t="inlineStr">
        <is>
          <t> 94964 </t>
        </is>
      </c>
      <c r="C15" s="16" t="inlineStr">
        <is>
          <t>SINAPI</t>
        </is>
      </c>
      <c r="D15" s="16" t="inlineStr">
        <is>
          <t>CONCRETO FCK = 20MPA, TRAÇO 1:2,7:3 (CIMENTO/ AREIA MÉDIA/ BRITA 1)  - PREPARO MECÂNICO COM BETONEIRA 400 L. AF_07/2016</t>
        </is>
      </c>
      <c r="E15" s="17" t="inlineStr">
        <is>
          <t>m³</t>
        </is>
      </c>
      <c r="F15" s="18" t="n">
        <v>6.5</v>
      </c>
      <c r="G15" s="19" t="n">
        <v>276.2</v>
      </c>
      <c r="H15" s="19" t="str">
        <f>TRUNC(G15 * (1 + 27.0 / 100), 2)</f>
      </c>
      <c r="I15" s="19" t="str">
        <f>TRUNC(F15 * h15, 2)</f>
      </c>
      <c r="J15" s="20" t="str">
        <f>i15 / 150121.96</f>
      </c>
    </row>
    <row customHeight="1" ht="36" r="16">
      <c r="A16" s="16" t="inlineStr">
        <is>
          <t> 3.3 </t>
        </is>
      </c>
      <c r="B16" s="18" t="inlineStr">
        <is>
          <t> 74141/002 </t>
        </is>
      </c>
      <c r="C16" s="16" t="inlineStr">
        <is>
          <t>SINAPI</t>
        </is>
      </c>
      <c r="D16" s="16" t="inlineStr">
        <is>
          <t>LAJE PRE-MOLD BETA 12 P/3,5KN/M2 VAO 4,1M INCL VIGOTAS TIJOLOS ARMADU-RA NEGATIVA CAPEAMENTO 3CM CONCRETO 15MPA ESCORAMENTO MATERIAIS E MAO DE OBRA.</t>
        </is>
      </c>
      <c r="E16" s="17" t="inlineStr">
        <is>
          <t>m²</t>
        </is>
      </c>
      <c r="F16" s="18" t="n">
        <v>48.6</v>
      </c>
      <c r="G16" s="19" t="n">
        <v>83.8</v>
      </c>
      <c r="H16" s="19" t="str">
        <f>TRUNC(G16 * (1 + 27.0 / 100), 2)</f>
      </c>
      <c r="I16" s="19" t="str">
        <f>TRUNC(F16 * h16, 2)</f>
      </c>
      <c r="J16" s="20" t="str">
        <f>i16 / 150121.96</f>
      </c>
    </row>
    <row customHeight="1" ht="24" r="17">
      <c r="A17" s="8" t="inlineStr">
        <is>
          <t> 4 </t>
        </is>
      </c>
      <c r="B17" s="8"/>
      <c r="C17" s="8"/>
      <c r="D17" s="8" t="inlineStr">
        <is>
          <t>ALVENARIA</t>
        </is>
      </c>
      <c r="E17" s="8"/>
      <c r="F17" s="10"/>
      <c r="G17" s="8"/>
      <c r="H17" s="8"/>
      <c r="I17" s="11" t="n">
        <v>6421.99</v>
      </c>
      <c r="J17" s="12" t="str">
        <f>i17 / 150121.96</f>
      </c>
    </row>
    <row customHeight="1" ht="60" r="18">
      <c r="A18" s="16" t="inlineStr">
        <is>
          <t> 4.1 </t>
        </is>
      </c>
      <c r="B18" s="18" t="inlineStr">
        <is>
          <t> 89978 </t>
        </is>
      </c>
      <c r="C18" s="16" t="inlineStr">
        <is>
          <t>SINAPI</t>
        </is>
      </c>
      <c r="D18" s="16" t="inlineStr">
        <is>
          <t>(COMPOSIÇÃO REPRESENTATIVA) DO SERVIÇO DE ALVENARIA DE VEDAÇÃO DE BLOCOS VAZADOS DE CONCRETO DE 14X19X39CM (ESPESSURA 14CM), PARA EDIFICAÇÃO HABITACIONAL UNIFAMILIAR (CASA) E EDIFICAÇÃO PÚBLICA PADRÃO. AF_12/2014</t>
        </is>
      </c>
      <c r="E18" s="17" t="inlineStr">
        <is>
          <t>m²</t>
        </is>
      </c>
      <c r="F18" s="18" t="n">
        <v>38.63</v>
      </c>
      <c r="G18" s="19" t="n">
        <v>56.99</v>
      </c>
      <c r="H18" s="19" t="str">
        <f>TRUNC(G18 * (1 + 27.0 / 100), 2)</f>
      </c>
      <c r="I18" s="19" t="str">
        <f>TRUNC(F18 * h18, 2)</f>
      </c>
      <c r="J18" s="20" t="str">
        <f>i18 / 150121.96</f>
      </c>
    </row>
    <row customHeight="1" ht="60" r="19">
      <c r="A19" s="16" t="inlineStr">
        <is>
          <t> 4.2 </t>
        </is>
      </c>
      <c r="B19" s="18" t="inlineStr">
        <is>
          <t> 87521 </t>
        </is>
      </c>
      <c r="C19" s="16" t="inlineStr">
        <is>
          <t>SINAPI</t>
        </is>
      </c>
      <c r="D19" s="16" t="inlineStr">
        <is>
          <t>ALVENARIA DE VEDAÇÃO DE BLOCOS CERÂMICOS FURADOS NA HORIZONTAL DE 11,5X19X19CM (ESPESSURA 11,5CM) DE PAREDES COM ÁREA LÍQUIDA MAIOR OU IGUAL A 6M² COM VÃOS E ARGAMASSA DE ASSENTAMENTO COM PREPARO EM BETONEIRA. AF_06/2014</t>
        </is>
      </c>
      <c r="E19" s="17" t="inlineStr">
        <is>
          <t>m²</t>
        </is>
      </c>
      <c r="F19" s="18" t="n">
        <v>50.0</v>
      </c>
      <c r="G19" s="19" t="n">
        <v>56.36</v>
      </c>
      <c r="H19" s="19" t="str">
        <f>TRUNC(G19 * (1 + 27.0 / 100), 2)</f>
      </c>
      <c r="I19" s="19" t="str">
        <f>TRUNC(F19 * h19, 2)</f>
      </c>
      <c r="J19" s="20" t="str">
        <f>i19 / 150121.96</f>
      </c>
    </row>
    <row customHeight="1" ht="24" r="20">
      <c r="A20" s="16" t="inlineStr">
        <is>
          <t> 4.3 </t>
        </is>
      </c>
      <c r="B20" s="18" t="inlineStr">
        <is>
          <t> 89999 </t>
        </is>
      </c>
      <c r="C20" s="16" t="inlineStr">
        <is>
          <t>SINAPI</t>
        </is>
      </c>
      <c r="D20" s="16" t="inlineStr">
        <is>
          <t>ARMAÇÃO DE VERGA E CONTRAVERGA DE ALVENARIA ESTRUTURAL; DIÂMETRO DE 8,0 MM. AF_01/2015</t>
        </is>
      </c>
      <c r="E20" s="17" t="inlineStr">
        <is>
          <t>KG</t>
        </is>
      </c>
      <c r="F20" s="18" t="n">
        <v>3.8</v>
      </c>
      <c r="G20" s="19" t="n">
        <v>9.92</v>
      </c>
      <c r="H20" s="19" t="str">
        <f>TRUNC(G20 * (1 + 27.0 / 100), 2)</f>
      </c>
      <c r="I20" s="19" t="str">
        <f>TRUNC(F20 * h20, 2)</f>
      </c>
      <c r="J20" s="20" t="str">
        <f>i20 / 150121.96</f>
      </c>
    </row>
    <row customHeight="1" ht="24" r="21">
      <c r="A21" s="8" t="inlineStr">
        <is>
          <t> 5 </t>
        </is>
      </c>
      <c r="B21" s="8"/>
      <c r="C21" s="8"/>
      <c r="D21" s="8" t="inlineStr">
        <is>
          <t>ESQUADRIAS</t>
        </is>
      </c>
      <c r="E21" s="8"/>
      <c r="F21" s="10"/>
      <c r="G21" s="8"/>
      <c r="H21" s="8"/>
      <c r="I21" s="11" t="n">
        <v>1970.54</v>
      </c>
      <c r="J21" s="12" t="str">
        <f>i21 / 150121.96</f>
      </c>
    </row>
    <row customHeight="1" ht="36" r="22">
      <c r="A22" s="16" t="inlineStr">
        <is>
          <t> 5.1 </t>
        </is>
      </c>
      <c r="B22" s="18" t="inlineStr">
        <is>
          <t> 91341 </t>
        </is>
      </c>
      <c r="C22" s="16" t="inlineStr">
        <is>
          <t>SINAPI</t>
        </is>
      </c>
      <c r="D22" s="16" t="inlineStr">
        <is>
          <t>PORTA EM ALUMÍNIO DE ABRIR TIPO VENEZIANA COM GUARNIÇÃO, FIXAÇÃO COM PARAFUSOS - FORNECIMENTO E INSTALAÇÃO. AF_08/2015</t>
        </is>
      </c>
      <c r="E22" s="17" t="inlineStr">
        <is>
          <t>m²</t>
        </is>
      </c>
      <c r="F22" s="18" t="n">
        <v>3.36</v>
      </c>
      <c r="G22" s="19" t="n">
        <v>412.01</v>
      </c>
      <c r="H22" s="19" t="str">
        <f>TRUNC(G22 * (1 + 27.0 / 100), 2)</f>
      </c>
      <c r="I22" s="19" t="str">
        <f>TRUNC(F22 * h22, 2)</f>
      </c>
      <c r="J22" s="20" t="str">
        <f>i22 / 150121.96</f>
      </c>
    </row>
    <row customHeight="1" ht="24" r="23">
      <c r="A23" s="16" t="inlineStr">
        <is>
          <t> 5.2 </t>
        </is>
      </c>
      <c r="B23" s="18" t="inlineStr">
        <is>
          <t> 72119 </t>
        </is>
      </c>
      <c r="C23" s="16" t="inlineStr">
        <is>
          <t>SINAPI</t>
        </is>
      </c>
      <c r="D23" s="16" t="inlineStr">
        <is>
          <t>VIDRO TEMPERADO INCOLOR, ESPESSURA 8MM, FORNECIMENTO E INSTALACAO, INCLUSIVE MASSA PARA VEDACAO</t>
        </is>
      </c>
      <c r="E23" s="17" t="inlineStr">
        <is>
          <t>m²</t>
        </is>
      </c>
      <c r="F23" s="18" t="n">
        <v>0.96</v>
      </c>
      <c r="G23" s="19" t="n">
        <v>174.24</v>
      </c>
      <c r="H23" s="19" t="str">
        <f>TRUNC(G23 * (1 + 27.0 / 100), 2)</f>
      </c>
      <c r="I23" s="19" t="str">
        <f>TRUNC(F23 * h23, 2)</f>
      </c>
      <c r="J23" s="20" t="str">
        <f>i23 / 150121.96</f>
      </c>
    </row>
    <row customHeight="1" ht="24" r="24">
      <c r="A24" s="8" t="inlineStr">
        <is>
          <t> 6 </t>
        </is>
      </c>
      <c r="B24" s="8"/>
      <c r="C24" s="8"/>
      <c r="D24" s="8" t="inlineStr">
        <is>
          <t>REVESTIMENTOS</t>
        </is>
      </c>
      <c r="E24" s="8"/>
      <c r="F24" s="10"/>
      <c r="G24" s="8"/>
      <c r="H24" s="8"/>
      <c r="I24" s="11" t="n">
        <v>8533.93</v>
      </c>
      <c r="J24" s="12" t="str">
        <f>i24 / 150121.96</f>
      </c>
    </row>
    <row customHeight="1" ht="48" r="25">
      <c r="A25" s="16" t="inlineStr">
        <is>
          <t> 6.1 </t>
        </is>
      </c>
      <c r="B25" s="18" t="inlineStr">
        <is>
          <t> 87894 </t>
        </is>
      </c>
      <c r="C25" s="16" t="inlineStr">
        <is>
          <t>SINAPI</t>
        </is>
      </c>
      <c r="D25" s="16" t="inlineStr">
        <is>
          <t>CHAPISCO APLICADO EM ALVENARIA (SEM PRESENÇA DE VÃOS) E ESTRUTURAS DE CONCRETO DE FACHADA, COM COLHER DE PEDREIRO.  ARGAMASSA TRAÇO 1:3 COM PREPARO EM BETONEIRA 400L. AF_06/2014</t>
        </is>
      </c>
      <c r="E25" s="17" t="inlineStr">
        <is>
          <t>m²</t>
        </is>
      </c>
      <c r="F25" s="18" t="n">
        <v>162.03</v>
      </c>
      <c r="G25" s="19" t="n">
        <v>4.64</v>
      </c>
      <c r="H25" s="19" t="str">
        <f>TRUNC(G25 * (1 + 27.0 / 100), 2)</f>
      </c>
      <c r="I25" s="19" t="str">
        <f>TRUNC(F25 * h25, 2)</f>
      </c>
      <c r="J25" s="20" t="str">
        <f>i25 / 150121.96</f>
      </c>
    </row>
    <row customHeight="1" ht="36" r="26">
      <c r="A26" s="16" t="inlineStr">
        <is>
          <t> 6.2 </t>
        </is>
      </c>
      <c r="B26" s="18" t="inlineStr">
        <is>
          <t> REV-REB-015 </t>
        </is>
      </c>
      <c r="C26" s="16" t="inlineStr">
        <is>
          <t>SETOP</t>
        </is>
      </c>
      <c r="D26" s="16" t="inlineStr">
        <is>
          <t>REBOCO COM ARGAMASSA, TRAÇO 1:2:8 (CIMENTO, CAL E AREIA), ESP. 20MM, APLICAÇÃO MANUAL, PREPARO MECÂNICO</t>
        </is>
      </c>
      <c r="E26" s="17" t="inlineStr">
        <is>
          <t>m²</t>
        </is>
      </c>
      <c r="F26" s="18" t="n">
        <v>112.03</v>
      </c>
      <c r="G26" s="19" t="n">
        <v>23.74</v>
      </c>
      <c r="H26" s="19" t="str">
        <f>TRUNC(G26 * (1 + 27.0 / 100), 2)</f>
      </c>
      <c r="I26" s="19" t="str">
        <f>TRUNC(F26 * h26, 2)</f>
      </c>
      <c r="J26" s="20" t="str">
        <f>i26 / 150121.96</f>
      </c>
    </row>
    <row customHeight="1" ht="24" r="27">
      <c r="A27" s="16" t="inlineStr">
        <is>
          <t> 6.3 </t>
        </is>
      </c>
      <c r="B27" s="18" t="inlineStr">
        <is>
          <t> REV-EMB-005 </t>
        </is>
      </c>
      <c r="C27" s="16" t="inlineStr">
        <is>
          <t>SETOP</t>
        </is>
      </c>
      <c r="D27" s="16" t="inlineStr">
        <is>
          <t>EMBOÇO COM ARGAMASSA, TRAÇO 1:6 (CIMENTO E AREIA), ESP. 20MM, APLICAÇÃO MANUAL, PREPARO MECÂNICO</t>
        </is>
      </c>
      <c r="E27" s="17" t="inlineStr">
        <is>
          <t>m²</t>
        </is>
      </c>
      <c r="F27" s="18" t="n">
        <v>50.0</v>
      </c>
      <c r="G27" s="19" t="n">
        <v>23.0</v>
      </c>
      <c r="H27" s="19" t="str">
        <f>TRUNC(G27 * (1 + 27.0 / 100), 2)</f>
      </c>
      <c r="I27" s="19" t="str">
        <f>TRUNC(F27 * h27, 2)</f>
      </c>
      <c r="J27" s="20" t="str">
        <f>i27 / 150121.96</f>
      </c>
    </row>
    <row customHeight="1" ht="48" r="28">
      <c r="A28" s="16" t="inlineStr">
        <is>
          <t> 6.4 </t>
        </is>
      </c>
      <c r="B28" s="18" t="inlineStr">
        <is>
          <t> 89046 </t>
        </is>
      </c>
      <c r="C28" s="16" t="inlineStr">
        <is>
          <t>SINAPI</t>
        </is>
      </c>
      <c r="D28" s="16" t="inlineStr">
        <is>
          <t>(COMPOSIÇÃO REPRESENTATIVA) DO SERVIÇO DE REVESTIMENTO CERÂMICO PARA PISO COM PLACAS TIPO GRÉS DE DIMENSÕES 35X35 CM, PARA EDIFICAÇÃO HABITACIONAL MULTIFAMILIAR (PRÉDIO). AF_11/2014</t>
        </is>
      </c>
      <c r="E28" s="17" t="inlineStr">
        <is>
          <t>m²</t>
        </is>
      </c>
      <c r="F28" s="18" t="n">
        <v>50.0</v>
      </c>
      <c r="G28" s="19" t="n">
        <v>43.19</v>
      </c>
      <c r="H28" s="19" t="str">
        <f>TRUNC(G28 * (1 + 27.0 / 100), 2)</f>
      </c>
      <c r="I28" s="19" t="str">
        <f>TRUNC(F28 * h28, 2)</f>
      </c>
      <c r="J28" s="20" t="str">
        <f>i28 / 150121.96</f>
      </c>
    </row>
    <row customHeight="1" ht="24" r="29">
      <c r="A29" s="8" t="inlineStr">
        <is>
          <t> 7 </t>
        </is>
      </c>
      <c r="B29" s="8"/>
      <c r="C29" s="8"/>
      <c r="D29" s="8" t="inlineStr">
        <is>
          <t>PINTURA</t>
        </is>
      </c>
      <c r="E29" s="8"/>
      <c r="F29" s="10"/>
      <c r="G29" s="8"/>
      <c r="H29" s="8"/>
      <c r="I29" s="11" t="n">
        <v>8903.24</v>
      </c>
      <c r="J29" s="12" t="str">
        <f>i29 / 150121.96</f>
      </c>
    </row>
    <row customHeight="1" ht="24" r="30">
      <c r="A30" s="16" t="inlineStr">
        <is>
          <t> 7.1 </t>
        </is>
      </c>
      <c r="B30" s="18" t="inlineStr">
        <is>
          <t> 88489 </t>
        </is>
      </c>
      <c r="C30" s="16" t="inlineStr">
        <is>
          <t>SINAPI</t>
        </is>
      </c>
      <c r="D30" s="16" t="inlineStr">
        <is>
          <t>APLICAÇÃO MANUAL DE PINTURA COM TINTA LÁTEX ACRÍLICA EM PAREDES, DUAS DEMÃOS. AF_06/2014</t>
        </is>
      </c>
      <c r="E30" s="17" t="inlineStr">
        <is>
          <t>m²</t>
        </is>
      </c>
      <c r="F30" s="18" t="n">
        <v>112.03</v>
      </c>
      <c r="G30" s="19" t="n">
        <v>10.21</v>
      </c>
      <c r="H30" s="19" t="str">
        <f>TRUNC(G30 * (1 + 27.0 / 100), 2)</f>
      </c>
      <c r="I30" s="19" t="str">
        <f>TRUNC(F30 * h30, 2)</f>
      </c>
      <c r="J30" s="20" t="str">
        <f>i30 / 150121.96</f>
      </c>
    </row>
    <row customHeight="1" ht="24" r="31">
      <c r="A31" s="16" t="inlineStr">
        <is>
          <t> 7.2 </t>
        </is>
      </c>
      <c r="B31" s="18" t="inlineStr">
        <is>
          <t> 88485 </t>
        </is>
      </c>
      <c r="C31" s="16" t="inlineStr">
        <is>
          <t>SINAPI</t>
        </is>
      </c>
      <c r="D31" s="16" t="inlineStr">
        <is>
          <t>APLICAÇÃO DE FUNDO SELADOR ACRÍLICO EM PAREDES, UMA DEMÃO. AF_06/2014</t>
        </is>
      </c>
      <c r="E31" s="17" t="inlineStr">
        <is>
          <t>m²</t>
        </is>
      </c>
      <c r="F31" s="18" t="n">
        <v>112.03</v>
      </c>
      <c r="G31" s="19" t="n">
        <v>2.2</v>
      </c>
      <c r="H31" s="19" t="str">
        <f>TRUNC(G31 * (1 + 27.0 / 100), 2)</f>
      </c>
      <c r="I31" s="19" t="str">
        <f>TRUNC(F31 * h31, 2)</f>
      </c>
      <c r="J31" s="20" t="str">
        <f>i31 / 150121.96</f>
      </c>
    </row>
    <row customHeight="1" ht="24" r="32">
      <c r="A32" s="16" t="inlineStr">
        <is>
          <t> 7.3 </t>
        </is>
      </c>
      <c r="B32" s="18" t="inlineStr">
        <is>
          <t> 74064/001 </t>
        </is>
      </c>
      <c r="C32" s="16" t="inlineStr">
        <is>
          <t>SINAPI</t>
        </is>
      </c>
      <c r="D32" s="16" t="inlineStr">
        <is>
          <t>FUNDO ANTICORROSIVO A BASE DE OXIDO DE FERRO (ZARCAO), DUAS DEMAOS</t>
        </is>
      </c>
      <c r="E32" s="17" t="inlineStr">
        <is>
          <t>m²</t>
        </is>
      </c>
      <c r="F32" s="18" t="n">
        <v>48.24</v>
      </c>
      <c r="G32" s="19" t="n">
        <v>19.95</v>
      </c>
      <c r="H32" s="19" t="str">
        <f>TRUNC(G32 * (1 + 27.0 / 100), 2)</f>
      </c>
      <c r="I32" s="19" t="str">
        <f>TRUNC(F32 * h32, 2)</f>
      </c>
      <c r="J32" s="20" t="str">
        <f>i32 / 150121.96</f>
      </c>
    </row>
    <row customHeight="1" ht="24" r="33">
      <c r="A33" s="16" t="inlineStr">
        <is>
          <t> 7.4 </t>
        </is>
      </c>
      <c r="B33" s="18" t="inlineStr">
        <is>
          <t> 73794/001 </t>
        </is>
      </c>
      <c r="C33" s="16" t="inlineStr">
        <is>
          <t>SINAPI</t>
        </is>
      </c>
      <c r="D33" s="16" t="inlineStr">
        <is>
          <t>PINTURA COM TINTA PROTETORA ACABAMENTO GRAFITE ESMALTE SOBRE SUPERFICIE METALICA, 2 DEMAOS</t>
        </is>
      </c>
      <c r="E33" s="17" t="inlineStr">
        <is>
          <t>m²</t>
        </is>
      </c>
      <c r="F33" s="18" t="n">
        <v>6.72</v>
      </c>
      <c r="G33" s="19" t="n">
        <v>33.79</v>
      </c>
      <c r="H33" s="19" t="str">
        <f>TRUNC(G33 * (1 + 27.0 / 100), 2)</f>
      </c>
      <c r="I33" s="19" t="str">
        <f>TRUNC(F33 * h33, 2)</f>
      </c>
      <c r="J33" s="20" t="str">
        <f>i33 / 150121.96</f>
      </c>
    </row>
    <row customHeight="1" ht="24" r="34">
      <c r="A34" s="16" t="inlineStr">
        <is>
          <t> 7.5 </t>
        </is>
      </c>
      <c r="B34" s="18" t="inlineStr">
        <is>
          <t> 88489 </t>
        </is>
      </c>
      <c r="C34" s="16" t="inlineStr">
        <is>
          <t>SINAPI</t>
        </is>
      </c>
      <c r="D34" s="16" t="inlineStr">
        <is>
          <t>APLICAÇÃO MANUAL DE PINTURA COM TINTA LÁTEX ACRÍLICA EM PISO ( NOVA COR), DUAS DEMÃOS. (Inclusive meio fio)  AF_06/2014</t>
        </is>
      </c>
      <c r="E34" s="17" t="inlineStr">
        <is>
          <t>m²</t>
        </is>
      </c>
      <c r="F34" s="18" t="n">
        <v>434.3</v>
      </c>
      <c r="G34" s="19" t="n">
        <v>10.21</v>
      </c>
      <c r="H34" s="19" t="str">
        <f>TRUNC(G34 * (1 + 27.0 / 100), 2)</f>
      </c>
      <c r="I34" s="19" t="str">
        <f>TRUNC(F34 * h34, 2)</f>
      </c>
      <c r="J34" s="20" t="str">
        <f>i34 / 150121.96</f>
      </c>
    </row>
    <row customHeight="1" ht="24" r="35">
      <c r="A35" s="8" t="inlineStr">
        <is>
          <t> 8 </t>
        </is>
      </c>
      <c r="B35" s="8"/>
      <c r="C35" s="8"/>
      <c r="D35" s="8" t="inlineStr">
        <is>
          <t>PISO</t>
        </is>
      </c>
      <c r="E35" s="8"/>
      <c r="F35" s="10"/>
      <c r="G35" s="8"/>
      <c r="H35" s="8"/>
      <c r="I35" s="11" t="n">
        <v>38610.22</v>
      </c>
      <c r="J35" s="12" t="str">
        <f>i35 / 150121.96</f>
      </c>
    </row>
    <row customHeight="1" ht="48" r="36">
      <c r="A36" s="16" t="inlineStr">
        <is>
          <t> 8.1 </t>
        </is>
      </c>
      <c r="B36" s="18" t="inlineStr">
        <is>
          <t> 94992 </t>
        </is>
      </c>
      <c r="C36" s="16" t="inlineStr">
        <is>
          <t>SINAPI</t>
        </is>
      </c>
      <c r="D36" s="16" t="inlineStr">
        <is>
          <t>EXECUÇÃO DE PASSEIO (CALÇADA) OU PISO DE CONCRETO COM CONCRETO MOLDADO IN LOCO, FEITO EM OBRA, ACABAMENTO CONVENCIONAL, ESPESSURA 6 CM, ARMADO. AF_07/2016</t>
        </is>
      </c>
      <c r="E36" s="17" t="inlineStr">
        <is>
          <t>m²</t>
        </is>
      </c>
      <c r="F36" s="18" t="n">
        <v>354.19</v>
      </c>
      <c r="G36" s="19" t="n">
        <v>58.04</v>
      </c>
      <c r="H36" s="19" t="str">
        <f>TRUNC(G36 * (1 + 27.0 / 100), 2)</f>
      </c>
      <c r="I36" s="19" t="str">
        <f>TRUNC(F36 * h36, 2)</f>
      </c>
      <c r="J36" s="20" t="str">
        <f>i36 / 150121.96</f>
      </c>
    </row>
    <row customHeight="1" ht="24" r="37">
      <c r="A37" s="16" t="inlineStr">
        <is>
          <t> 8.2 </t>
        </is>
      </c>
      <c r="B37" s="18" t="inlineStr">
        <is>
          <t> 98504 </t>
        </is>
      </c>
      <c r="C37" s="16" t="inlineStr">
        <is>
          <t>SINAPI</t>
        </is>
      </c>
      <c r="D37" s="16" t="inlineStr">
        <is>
          <t>PLANTIO DE GRAMA EM PLACAS. AF_05/2018</t>
        </is>
      </c>
      <c r="E37" s="17" t="inlineStr">
        <is>
          <t>m²</t>
        </is>
      </c>
      <c r="F37" s="18" t="n">
        <v>998.99</v>
      </c>
      <c r="G37" s="19" t="n">
        <v>7.98</v>
      </c>
      <c r="H37" s="19" t="str">
        <f>TRUNC(G37 * (1 + 27.0 / 100), 2)</f>
      </c>
      <c r="I37" s="19" t="str">
        <f>TRUNC(F37 * h37, 2)</f>
      </c>
      <c r="J37" s="20" t="str">
        <f>i37 / 150121.96</f>
      </c>
    </row>
    <row customHeight="1" ht="60" r="38">
      <c r="A38" s="16" t="inlineStr">
        <is>
          <t> 8.3 </t>
        </is>
      </c>
      <c r="B38" s="18" t="inlineStr">
        <is>
          <t> 94275 </t>
        </is>
      </c>
      <c r="C38" s="16" t="inlineStr">
        <is>
          <t>SINAPI</t>
        </is>
      </c>
      <c r="D38" s="16" t="inlineStr">
        <is>
          <t>ASSENTAMENTO DE GUIA (MEIO-FIO) EM TRECHO RETO, CONFECCIONADA EM CONCRETO PRÉ-FABRICADO, DIMENSÕES 100X15X13X20 CM (COMPRIMENTO X BASE INFERIOR X BASE SUPERIOR X ALTURA), PARA URBANIZAÇÃO INTERNA DE EMPREENDIMENTOS. AF_06/2016_P</t>
        </is>
      </c>
      <c r="E38" s="17" t="inlineStr">
        <is>
          <t>M</t>
        </is>
      </c>
      <c r="F38" s="18" t="n">
        <v>50.0</v>
      </c>
      <c r="G38" s="19" t="n">
        <v>33.3</v>
      </c>
      <c r="H38" s="19" t="str">
        <f>TRUNC(G38 * (1 + 27.0 / 100), 2)</f>
      </c>
      <c r="I38" s="19" t="str">
        <f>TRUNC(F38 * h38, 2)</f>
      </c>
      <c r="J38" s="20" t="str">
        <f>i38 / 150121.96</f>
      </c>
    </row>
    <row customHeight="1" ht="24" r="39">
      <c r="A39" s="16" t="inlineStr">
        <is>
          <t> 8.4 </t>
        </is>
      </c>
      <c r="B39" s="18" t="inlineStr">
        <is>
          <t> 98689 </t>
        </is>
      </c>
      <c r="C39" s="16" t="inlineStr">
        <is>
          <t>SINAPI</t>
        </is>
      </c>
      <c r="D39" s="16" t="inlineStr">
        <is>
          <t>SOLEIRA EM GRANITO, LARGURA 15 CM, ESPESSURA 2,0 CM. AF_06/2018</t>
        </is>
      </c>
      <c r="E39" s="17" t="inlineStr">
        <is>
          <t>M</t>
        </is>
      </c>
      <c r="F39" s="18" t="n">
        <v>1.6</v>
      </c>
      <c r="G39" s="19" t="n">
        <v>79.05</v>
      </c>
      <c r="H39" s="19" t="str">
        <f>TRUNC(G39 * (1 + 27.0 / 100), 2)</f>
      </c>
      <c r="I39" s="19" t="str">
        <f>TRUNC(F39 * h39, 2)</f>
      </c>
      <c r="J39" s="20" t="str">
        <f>i39 / 150121.96</f>
      </c>
    </row>
    <row customHeight="1" ht="36" r="40">
      <c r="A40" s="16" t="inlineStr">
        <is>
          <t> 8.5 </t>
        </is>
      </c>
      <c r="B40" s="18" t="inlineStr">
        <is>
          <t> 84088 </t>
        </is>
      </c>
      <c r="C40" s="16" t="inlineStr">
        <is>
          <t>SINAPI</t>
        </is>
      </c>
      <c r="D40" s="16" t="inlineStr">
        <is>
          <t>PEITORIL EM MARMORE BRANCO, LARGURA DE 15CM, ASSENTADO COM ARGAMASSA TRACO 1:4 (CIMENTO E AREIA MEDIA), PREPARO MANUAL DA ARGAMASSA</t>
        </is>
      </c>
      <c r="E40" s="17" t="inlineStr">
        <is>
          <t>M</t>
        </is>
      </c>
      <c r="F40" s="18" t="n">
        <v>1.6</v>
      </c>
      <c r="G40" s="19" t="n">
        <v>53.15</v>
      </c>
      <c r="H40" s="19" t="str">
        <f>TRUNC(G40 * (1 + 27.0 / 100), 2)</f>
      </c>
      <c r="I40" s="19" t="str">
        <f>TRUNC(F40 * h40, 2)</f>
      </c>
      <c r="J40" s="20" t="str">
        <f>i40 / 150121.96</f>
      </c>
    </row>
    <row customHeight="1" ht="24" r="41">
      <c r="A41" s="8" t="inlineStr">
        <is>
          <t> 9 </t>
        </is>
      </c>
      <c r="B41" s="8"/>
      <c r="C41" s="8"/>
      <c r="D41" s="8" t="inlineStr">
        <is>
          <t>INSTALAÇÕES ELETRICAS</t>
        </is>
      </c>
      <c r="E41" s="8"/>
      <c r="F41" s="10"/>
      <c r="G41" s="8"/>
      <c r="H41" s="8"/>
      <c r="I41" s="11" t="n">
        <v>9738.35</v>
      </c>
      <c r="J41" s="12" t="str">
        <f>i41 / 150121.96</f>
      </c>
    </row>
    <row customHeight="1" ht="36" r="42">
      <c r="A42" s="16" t="inlineStr">
        <is>
          <t> 9.1 </t>
        </is>
      </c>
      <c r="B42" s="18" t="inlineStr">
        <is>
          <t> 83473 </t>
        </is>
      </c>
      <c r="C42" s="16" t="inlineStr">
        <is>
          <t>SINAPI</t>
        </is>
      </c>
      <c r="D42" s="16" t="inlineStr">
        <is>
          <t>POSTE METALICO DECORATIVO EXTERNO P/ JARDIM H = 2,50M D = 75MM C/1 LUMINARIA PARA LAMPADA DE LED 20W - FORNECIMENTO E INSTALACAO</t>
        </is>
      </c>
      <c r="E42" s="17" t="inlineStr">
        <is>
          <t>UN</t>
        </is>
      </c>
      <c r="F42" s="18" t="n">
        <v>10.0</v>
      </c>
      <c r="G42" s="19" t="n">
        <v>374.54</v>
      </c>
      <c r="H42" s="19" t="str">
        <f>TRUNC(G42 * (1 + 27.0 / 100), 2)</f>
      </c>
      <c r="I42" s="19" t="str">
        <f>TRUNC(F42 * h42, 2)</f>
      </c>
      <c r="J42" s="20" t="str">
        <f>i42 / 150121.96</f>
      </c>
    </row>
    <row customHeight="1" ht="36" r="43">
      <c r="A43" s="16" t="inlineStr">
        <is>
          <t> 9.2 </t>
        </is>
      </c>
      <c r="B43" s="18" t="inlineStr">
        <is>
          <t> 97589 </t>
        </is>
      </c>
      <c r="C43" s="16" t="inlineStr">
        <is>
          <t>SINAPI</t>
        </is>
      </c>
      <c r="D43" s="16" t="inlineStr">
        <is>
          <t>LUMINÁRIA TIPO PLAFON EM PLÁSTICO, DE SOBREPOR, COM 1 LÂMPADA DE 15 W, - FORNECIMENTO E INSTALAÇÃO. AF_11/2017</t>
        </is>
      </c>
      <c r="E43" s="17" t="inlineStr">
        <is>
          <t>UN</t>
        </is>
      </c>
      <c r="F43" s="18" t="n">
        <v>6.0</v>
      </c>
      <c r="G43" s="19" t="n">
        <v>30.61</v>
      </c>
      <c r="H43" s="19" t="str">
        <f>TRUNC(G43 * (1 + 27.0 / 100), 2)</f>
      </c>
      <c r="I43" s="19" t="str">
        <f>TRUNC(F43 * h43, 2)</f>
      </c>
      <c r="J43" s="20" t="str">
        <f>i43 / 150121.96</f>
      </c>
    </row>
    <row customHeight="1" ht="24" r="44">
      <c r="A44" s="16" t="inlineStr">
        <is>
          <t> 9.3 </t>
        </is>
      </c>
      <c r="B44" s="18" t="inlineStr">
        <is>
          <t> 97600 </t>
        </is>
      </c>
      <c r="C44" s="16" t="inlineStr">
        <is>
          <t>SINAPI</t>
        </is>
      </c>
      <c r="D44" s="16" t="inlineStr">
        <is>
          <t>REFLETOR EM ALUMÍNIO COM SUPORTE E ALÇA, LÂMPADA 125 W - FORNECIMENTO E INSTALAÇÃO. AF_11/2017</t>
        </is>
      </c>
      <c r="E44" s="17" t="inlineStr">
        <is>
          <t>UN</t>
        </is>
      </c>
      <c r="F44" s="18" t="n">
        <v>2.0</v>
      </c>
      <c r="G44" s="19" t="n">
        <v>185.32</v>
      </c>
      <c r="H44" s="19" t="str">
        <f>TRUNC(G44 * (1 + 27.0 / 100), 2)</f>
      </c>
      <c r="I44" s="19" t="str">
        <f>TRUNC(F44 * h44, 2)</f>
      </c>
      <c r="J44" s="20" t="str">
        <f>i44 / 150121.96</f>
      </c>
    </row>
    <row customHeight="1" ht="36" r="45">
      <c r="A45" s="16" t="inlineStr">
        <is>
          <t> 9.4 </t>
        </is>
      </c>
      <c r="B45" s="18" t="inlineStr">
        <is>
          <t> 97608 </t>
        </is>
      </c>
      <c r="C45" s="16" t="inlineStr">
        <is>
          <t>SINAPI</t>
        </is>
      </c>
      <c r="D45" s="16" t="inlineStr">
        <is>
          <t>LUMINÁRIA ARANDELA TIPO TARTARUGA, COM GRADE, PARA 1 LÂMPADA DE 15 W - FORNECIMENTO E INSTALAÇÃO. AF_11/2017</t>
        </is>
      </c>
      <c r="E45" s="17" t="inlineStr">
        <is>
          <t>UN</t>
        </is>
      </c>
      <c r="F45" s="18" t="n">
        <v>4.0</v>
      </c>
      <c r="G45" s="19" t="n">
        <v>67.18</v>
      </c>
      <c r="H45" s="19" t="str">
        <f>TRUNC(G45 * (1 + 27.0 / 100), 2)</f>
      </c>
      <c r="I45" s="19" t="str">
        <f>TRUNC(F45 * h45, 2)</f>
      </c>
      <c r="J45" s="20" t="str">
        <f>i45 / 150121.96</f>
      </c>
    </row>
    <row customHeight="1" ht="36" r="46">
      <c r="A46" s="16" t="inlineStr">
        <is>
          <t> 9.5 </t>
        </is>
      </c>
      <c r="B46" s="18" t="inlineStr">
        <is>
          <t> 92023 </t>
        </is>
      </c>
      <c r="C46" s="16" t="inlineStr">
        <is>
          <t>SINAPI</t>
        </is>
      </c>
      <c r="D46" s="16" t="inlineStr">
        <is>
          <t>INTERRUPTOR SIMPLES (1 MÓDULO) COM 1 TOMADA DE EMBUTIR 2P+T 10 A,  INCLUINDO SUPORTE E PLACA - FORNECIMENTO E INSTALAÇÃO. AF_12/2015</t>
        </is>
      </c>
      <c r="E46" s="17" t="inlineStr">
        <is>
          <t>UN</t>
        </is>
      </c>
      <c r="F46" s="18" t="n">
        <v>2.0</v>
      </c>
      <c r="G46" s="19" t="n">
        <v>32.66</v>
      </c>
      <c r="H46" s="19" t="str">
        <f>TRUNC(G46 * (1 + 27.0 / 100), 2)</f>
      </c>
      <c r="I46" s="19" t="str">
        <f>TRUNC(F46 * h46, 2)</f>
      </c>
      <c r="J46" s="20" t="str">
        <f>i46 / 150121.96</f>
      </c>
    </row>
    <row customHeight="1" ht="36" r="47">
      <c r="A47" s="16" t="inlineStr">
        <is>
          <t> 9.6 </t>
        </is>
      </c>
      <c r="B47" s="18" t="inlineStr">
        <is>
          <t> 91996 </t>
        </is>
      </c>
      <c r="C47" s="16" t="inlineStr">
        <is>
          <t>SINAPI</t>
        </is>
      </c>
      <c r="D47" s="16" t="inlineStr">
        <is>
          <t>TOMADA MÉDIA DE EMBUTIR (1 MÓDULO), 2P+T 10 A, INCLUINDO SUPORTE E PLACA - FORNECIMENTO E INSTALAÇÃO. AF_12/2015</t>
        </is>
      </c>
      <c r="E47" s="17" t="inlineStr">
        <is>
          <t>UN</t>
        </is>
      </c>
      <c r="F47" s="18" t="n">
        <v>2.0</v>
      </c>
      <c r="G47" s="19" t="n">
        <v>22.04</v>
      </c>
      <c r="H47" s="19" t="str">
        <f>TRUNC(G47 * (1 + 27.0 / 100), 2)</f>
      </c>
      <c r="I47" s="19" t="str">
        <f>TRUNC(F47 * h47, 2)</f>
      </c>
      <c r="J47" s="20" t="str">
        <f>i47 / 150121.96</f>
      </c>
    </row>
    <row customHeight="1" ht="24" r="48">
      <c r="A48" s="16" t="inlineStr">
        <is>
          <t> 9.7 </t>
        </is>
      </c>
      <c r="B48" s="18" t="inlineStr">
        <is>
          <t> ELE-QUA-005 </t>
        </is>
      </c>
      <c r="C48" s="16" t="inlineStr">
        <is>
          <t>SETOP</t>
        </is>
      </c>
      <c r="D48" s="16" t="inlineStr">
        <is>
          <t>QUADRO DE DISTRIBUIÇÃO PARA 8 MÓDULOS COM BARRAMENTO E CHAVE</t>
        </is>
      </c>
      <c r="E48" s="17" t="inlineStr">
        <is>
          <t>U</t>
        </is>
      </c>
      <c r="F48" s="18" t="n">
        <v>1.0</v>
      </c>
      <c r="G48" s="19" t="n">
        <v>129.8</v>
      </c>
      <c r="H48" s="19" t="str">
        <f>TRUNC(G48 * (1 + 27.0 / 100), 2)</f>
      </c>
      <c r="I48" s="19" t="str">
        <f>TRUNC(F48 * h48, 2)</f>
      </c>
      <c r="J48" s="20" t="str">
        <f>i48 / 150121.96</f>
      </c>
    </row>
    <row customHeight="1" ht="24" r="49">
      <c r="A49" s="16" t="inlineStr">
        <is>
          <t> 9.8 </t>
        </is>
      </c>
      <c r="B49" s="18" t="inlineStr">
        <is>
          <t> 93660 </t>
        </is>
      </c>
      <c r="C49" s="16" t="inlineStr">
        <is>
          <t>SINAPI</t>
        </is>
      </c>
      <c r="D49" s="16" t="inlineStr">
        <is>
          <t>DISJUNTOR BIPOLAR TIPO DIN, CORRENTE NOMINAL DE 10A - FORNECIMENTO E INSTALAÇÃO. AF_04/2016</t>
        </is>
      </c>
      <c r="E49" s="17" t="inlineStr">
        <is>
          <t>UN</t>
        </is>
      </c>
      <c r="F49" s="18" t="n">
        <v>3.0</v>
      </c>
      <c r="G49" s="19" t="n">
        <v>56.03</v>
      </c>
      <c r="H49" s="19" t="str">
        <f>TRUNC(G49 * (1 + 27.0 / 100), 2)</f>
      </c>
      <c r="I49" s="19" t="str">
        <f>TRUNC(F49 * h49, 2)</f>
      </c>
      <c r="J49" s="20" t="str">
        <f>i49 / 150121.96</f>
      </c>
    </row>
    <row customHeight="1" ht="24" r="50">
      <c r="A50" s="16" t="inlineStr">
        <is>
          <t> 9.9 </t>
        </is>
      </c>
      <c r="B50" s="18" t="inlineStr">
        <is>
          <t> 93662 </t>
        </is>
      </c>
      <c r="C50" s="16" t="inlineStr">
        <is>
          <t>SINAPI</t>
        </is>
      </c>
      <c r="D50" s="16" t="inlineStr">
        <is>
          <t>DISJUNTOR BIPOLAR TIPO DIN, CORRENTE NOMINAL DE 20A - FORNECIMENTO E INSTALAÇÃO. AF_04/2016</t>
        </is>
      </c>
      <c r="E50" s="17" t="inlineStr">
        <is>
          <t>UN</t>
        </is>
      </c>
      <c r="F50" s="18" t="n">
        <v>2.0</v>
      </c>
      <c r="G50" s="19" t="n">
        <v>58.68</v>
      </c>
      <c r="H50" s="19" t="str">
        <f>TRUNC(G50 * (1 + 27.0 / 100), 2)</f>
      </c>
      <c r="I50" s="19" t="str">
        <f>TRUNC(F50 * h50, 2)</f>
      </c>
      <c r="J50" s="20" t="str">
        <f>i50 / 150121.96</f>
      </c>
    </row>
    <row customHeight="1" ht="24" r="51">
      <c r="A51" s="16" t="inlineStr">
        <is>
          <t> 9.10 </t>
        </is>
      </c>
      <c r="B51" s="18" t="inlineStr">
        <is>
          <t> 83399 </t>
        </is>
      </c>
      <c r="C51" s="16" t="inlineStr">
        <is>
          <t>SINAPI</t>
        </is>
      </c>
      <c r="D51" s="16" t="inlineStr">
        <is>
          <t>RELE FOTOELETRICO P/ COMANDO DE ILUMINACAO EXTERNA 220V/1000W - FORNECIMENTO E INSTALACAO</t>
        </is>
      </c>
      <c r="E51" s="17" t="inlineStr">
        <is>
          <t>UN</t>
        </is>
      </c>
      <c r="F51" s="18" t="n">
        <v>2.0</v>
      </c>
      <c r="G51" s="19" t="n">
        <v>29.51</v>
      </c>
      <c r="H51" s="19" t="str">
        <f>TRUNC(G51 * (1 + 27.0 / 100), 2)</f>
      </c>
      <c r="I51" s="19" t="str">
        <f>TRUNC(F51 * h51, 2)</f>
      </c>
      <c r="J51" s="20" t="str">
        <f>i51 / 150121.96</f>
      </c>
    </row>
    <row customHeight="1" ht="36" r="52">
      <c r="A52" s="16" t="inlineStr">
        <is>
          <t> 9.11 </t>
        </is>
      </c>
      <c r="B52" s="18" t="inlineStr">
        <is>
          <t> 91926 </t>
        </is>
      </c>
      <c r="C52" s="16" t="inlineStr">
        <is>
          <t>SINAPI</t>
        </is>
      </c>
      <c r="D52" s="16" t="inlineStr">
        <is>
          <t>CABO DE COBRE FLEXÍVEL ISOLADO, 2,5 MM², ANTI-CHAMA 450/750 V, PARA CIRCUITOS TERMINAIS - FORNECIMENTO E INSTALAÇÃO. AF_12/2015</t>
        </is>
      </c>
      <c r="E52" s="17" t="inlineStr">
        <is>
          <t>M</t>
        </is>
      </c>
      <c r="F52" s="18" t="n">
        <v>500.0</v>
      </c>
      <c r="G52" s="19" t="n">
        <v>2.33</v>
      </c>
      <c r="H52" s="19" t="str">
        <f>TRUNC(G52 * (1 + 27.0 / 100), 2)</f>
      </c>
      <c r="I52" s="19" t="str">
        <f>TRUNC(F52 * h52, 2)</f>
      </c>
      <c r="J52" s="20" t="str">
        <f>i52 / 150121.96</f>
      </c>
    </row>
    <row customHeight="1" ht="36" r="53">
      <c r="A53" s="16" t="inlineStr">
        <is>
          <t> 9.12 </t>
        </is>
      </c>
      <c r="B53" s="18" t="inlineStr">
        <is>
          <t> 91849 </t>
        </is>
      </c>
      <c r="C53" s="16" t="inlineStr">
        <is>
          <t>SINAPI</t>
        </is>
      </c>
      <c r="D53" s="16" t="inlineStr">
        <is>
          <t>ELETRODUTO FLEXÍVEL LISO, PEAD, DN 32 MM (1"), PARA CIRCUITOS TERMINAIS, INSTALADO EM LAJE, PAREDE E PISO - FORNECIMENTO E INSTALAÇÃO. AF_12/2015</t>
        </is>
      </c>
      <c r="E53" s="17" t="inlineStr">
        <is>
          <t>M</t>
        </is>
      </c>
      <c r="F53" s="18" t="n">
        <v>220.0</v>
      </c>
      <c r="G53" s="19" t="n">
        <v>6.16</v>
      </c>
      <c r="H53" s="19" t="str">
        <f>TRUNC(G53 * (1 + 27.0 / 100), 2)</f>
      </c>
      <c r="I53" s="19" t="str">
        <f>TRUNC(F53 * h53, 2)</f>
      </c>
      <c r="J53" s="20" t="str">
        <f>i53 / 150121.96</f>
      </c>
    </row>
    <row customHeight="1" ht="24" r="54">
      <c r="A54" s="8" t="inlineStr">
        <is>
          <t> 10 </t>
        </is>
      </c>
      <c r="B54" s="8"/>
      <c r="C54" s="8"/>
      <c r="D54" s="8" t="inlineStr">
        <is>
          <t>INSTALAÇÕES HIDRÁULICAS E SANITARIAS</t>
        </is>
      </c>
      <c r="E54" s="8"/>
      <c r="F54" s="10"/>
      <c r="G54" s="8"/>
      <c r="H54" s="8"/>
      <c r="I54" s="11" t="n">
        <v>14162.15</v>
      </c>
      <c r="J54" s="12" t="str">
        <f>i54 / 150121.96</f>
      </c>
    </row>
    <row customHeight="1" ht="60" r="55">
      <c r="A55" s="16" t="inlineStr">
        <is>
          <t> 10.1 </t>
        </is>
      </c>
      <c r="B55" s="18" t="inlineStr">
        <is>
          <t> 86939 </t>
        </is>
      </c>
      <c r="C55" s="16" t="inlineStr">
        <is>
          <t>SINAPI</t>
        </is>
      </c>
      <c r="D55" s="16" t="inlineStr">
        <is>
          <t>LAVATÓRIO LOUÇA BRANCA COM COLUNA, *44 X 35,5* CM, PADRÃO POPULAR, INCLUSO SIFÃO FLEXÍVEL EM PVC, VÁLVULA E ENGATE FLEXÍVEL 30CM EM PLÁSTICO E COM TORNEIRA CROMADA PADRÃO POPULAR - FORNECIMENTO E INSTALAÇÃO. AF_12/2013</t>
        </is>
      </c>
      <c r="E55" s="17" t="inlineStr">
        <is>
          <t>UN</t>
        </is>
      </c>
      <c r="F55" s="18" t="n">
        <v>2.0</v>
      </c>
      <c r="G55" s="19" t="n">
        <v>271.26</v>
      </c>
      <c r="H55" s="19" t="str">
        <f>TRUNC(G55 * (1 + 27.0 / 100), 2)</f>
      </c>
      <c r="I55" s="19" t="str">
        <f>TRUNC(F55 * h55, 2)</f>
      </c>
      <c r="J55" s="20" t="str">
        <f>i55 / 150121.96</f>
      </c>
    </row>
    <row customHeight="1" ht="24" r="56">
      <c r="A56" s="16" t="inlineStr">
        <is>
          <t> 10.2 </t>
        </is>
      </c>
      <c r="B56" s="18" t="inlineStr">
        <is>
          <t> 86888 </t>
        </is>
      </c>
      <c r="C56" s="16" t="inlineStr">
        <is>
          <t>SINAPI</t>
        </is>
      </c>
      <c r="D56" s="16" t="inlineStr">
        <is>
          <t>VASO SANITÁRIO SIFONADO COM CAIXA ACOPLADA LOUÇA BRANCA - FORNECIMENTO E INSTALAÇÃO. AF_12/2013</t>
        </is>
      </c>
      <c r="E56" s="17" t="inlineStr">
        <is>
          <t>UN</t>
        </is>
      </c>
      <c r="F56" s="18" t="n">
        <v>2.0</v>
      </c>
      <c r="G56" s="19" t="n">
        <v>368.28</v>
      </c>
      <c r="H56" s="19" t="str">
        <f>TRUNC(G56 * (1 + 27.0 / 100), 2)</f>
      </c>
      <c r="I56" s="19" t="str">
        <f>TRUNC(F56 * h56, 2)</f>
      </c>
      <c r="J56" s="20" t="str">
        <f>i56 / 150121.96</f>
      </c>
    </row>
    <row customHeight="1" ht="48" r="57">
      <c r="A57" s="16" t="inlineStr">
        <is>
          <t> 10.3 </t>
        </is>
      </c>
      <c r="B57" s="18" t="inlineStr">
        <is>
          <t> 86923 </t>
        </is>
      </c>
      <c r="C57" s="16" t="inlineStr">
        <is>
          <t>SINAPI</t>
        </is>
      </c>
      <c r="D57" s="16" t="inlineStr">
        <is>
          <t>TANQUE DE LOUÇA BRANCA SUSPENSO, 18L OU EQUIVALENTE, INCLUSO SIFÃO TIPO GARRAFA EM PVC, VÁLVULA PLÁSTICA E TORNEIRA DE METAL CROMADO PADRÃO POPULAR - FORNECIMENTO E INSTALAÇÃO. AF_12/2013</t>
        </is>
      </c>
      <c r="E57" s="17" t="inlineStr">
        <is>
          <t>UN</t>
        </is>
      </c>
      <c r="F57" s="18" t="n">
        <v>2.0</v>
      </c>
      <c r="G57" s="19" t="n">
        <v>418.87</v>
      </c>
      <c r="H57" s="19" t="str">
        <f>TRUNC(G57 * (1 + 27.0 / 100), 2)</f>
      </c>
      <c r="I57" s="19" t="str">
        <f>TRUNC(F57 * h57, 2)</f>
      </c>
      <c r="J57" s="20" t="str">
        <f>i57 / 150121.96</f>
      </c>
    </row>
    <row customHeight="1" ht="60" r="58">
      <c r="A58" s="16" t="inlineStr">
        <is>
          <t> 10.4 </t>
        </is>
      </c>
      <c r="B58" s="18" t="inlineStr">
        <is>
          <t> 91785 </t>
        </is>
      </c>
      <c r="C58" s="16" t="inlineStr">
        <is>
          <t>SINAPI</t>
        </is>
      </c>
      <c r="D58" s="16" t="inlineStr">
        <is>
          <t>(COMPOSIÇÃO REPRESENTATIVA) DO SERVIÇO DE INSTALAÇÃO DE TUBOS DE PVC, SOLDÁVEL, ÁGUA FRIA, DN 25 MM (INSTALADO EM RAMAL, SUB-RAMAL, RAMAL DE DISTRIBUIÇÃO OU PRUMADA), INCLUSIVE CONEXÕES, CORTES E FIXAÇÕES, PARA PRÉDIOS. AF_10/2015</t>
        </is>
      </c>
      <c r="E58" s="17" t="inlineStr">
        <is>
          <t>M</t>
        </is>
      </c>
      <c r="F58" s="18" t="n">
        <v>75.0</v>
      </c>
      <c r="G58" s="19" t="n">
        <v>30.6</v>
      </c>
      <c r="H58" s="19" t="str">
        <f>TRUNC(G58 * (1 + 27.0 / 100), 2)</f>
      </c>
      <c r="I58" s="19" t="str">
        <f>TRUNC(F58 * h58, 2)</f>
      </c>
      <c r="J58" s="20" t="str">
        <f>i58 / 150121.96</f>
      </c>
    </row>
    <row customHeight="1" ht="36" r="59">
      <c r="A59" s="16" t="inlineStr">
        <is>
          <t> 10.5 </t>
        </is>
      </c>
      <c r="B59" s="18" t="inlineStr">
        <is>
          <t> 89971 </t>
        </is>
      </c>
      <c r="C59" s="16" t="inlineStr">
        <is>
          <t>SINAPI</t>
        </is>
      </c>
      <c r="D59" s="16" t="inlineStr">
        <is>
          <t>KIT DE REGISTRO DE GAVETA BRUTO DE LATÃO ½", INCLUSIVE CONEXÕES, ROSCÁVEL, INSTALADO EM RAMAL DE ÁGUA FRIA - FORNECIMENTO E INSTALAÇÃO. AF_12/2014</t>
        </is>
      </c>
      <c r="E59" s="17" t="inlineStr">
        <is>
          <t>UN</t>
        </is>
      </c>
      <c r="F59" s="18" t="n">
        <v>4.0</v>
      </c>
      <c r="G59" s="19" t="n">
        <v>38.17</v>
      </c>
      <c r="H59" s="19" t="str">
        <f>TRUNC(G59 * (1 + 27.0 / 100), 2)</f>
      </c>
      <c r="I59" s="19" t="str">
        <f>TRUNC(F59 * h59, 2)</f>
      </c>
      <c r="J59" s="20" t="str">
        <f>i59 / 150121.96</f>
      </c>
    </row>
    <row customHeight="1" ht="36" r="60">
      <c r="A60" s="16" t="inlineStr">
        <is>
          <t> 10.6 </t>
        </is>
      </c>
      <c r="B60" s="18" t="inlineStr">
        <is>
          <t> 89495 </t>
        </is>
      </c>
      <c r="C60" s="16" t="inlineStr">
        <is>
          <t>SINAPI</t>
        </is>
      </c>
      <c r="D60" s="16" t="inlineStr">
        <is>
          <t>RALO SIFONADO, PVC, DN 100 X 40 MM, JUNTA SOLDÁVEL, FORNECIDO E INSTALADO EM RAMAIS DE ENCAMINHAMENTO DE ÁGUA PLUVIAL. AF_12/2014</t>
        </is>
      </c>
      <c r="E60" s="17" t="inlineStr">
        <is>
          <t>UN</t>
        </is>
      </c>
      <c r="F60" s="18" t="n">
        <v>2.0</v>
      </c>
      <c r="G60" s="19" t="n">
        <v>6.74</v>
      </c>
      <c r="H60" s="19" t="str">
        <f>TRUNC(G60 * (1 + 27.0 / 100), 2)</f>
      </c>
      <c r="I60" s="19" t="str">
        <f>TRUNC(F60 * h60, 2)</f>
      </c>
      <c r="J60" s="20" t="str">
        <f>i60 / 150121.96</f>
      </c>
    </row>
    <row customHeight="1" ht="60" r="61">
      <c r="A61" s="16" t="inlineStr">
        <is>
          <t> 10.7 </t>
        </is>
      </c>
      <c r="B61" s="18" t="inlineStr">
        <is>
          <t> 91795 </t>
        </is>
      </c>
      <c r="C61" s="16" t="inlineStr">
        <is>
          <t>SINAPI</t>
        </is>
      </c>
      <c r="D61" s="16" t="inlineStr">
        <is>
          <t>(COMPOSIÇÃO REPRESENTATIVA) DO SERVIÇO DE INST. TUBO PVC, SÉRIE N, ESGOTO PREDIAL, 100 MM (INST. RAMAL DESCARGA, RAMAL DE ESG. SANIT., PRUMADA ESG. SANIT., VENTILAÇÃO OU SUB-COLETOR AÉREO), INCL. CONEXÕES E CORTES, FIXAÇÕES, P/ PRÉDIOS. AF_10/2015</t>
        </is>
      </c>
      <c r="E61" s="17" t="inlineStr">
        <is>
          <t>M</t>
        </is>
      </c>
      <c r="F61" s="18" t="n">
        <v>60.0</v>
      </c>
      <c r="G61" s="19" t="n">
        <v>44.29</v>
      </c>
      <c r="H61" s="19" t="str">
        <f>TRUNC(G61 * (1 + 27.0 / 100), 2)</f>
      </c>
      <c r="I61" s="19" t="str">
        <f>TRUNC(F61 * h61, 2)</f>
      </c>
      <c r="J61" s="20" t="str">
        <f>i61 / 150121.96</f>
      </c>
    </row>
    <row customHeight="1" ht="60" r="62">
      <c r="A62" s="16" t="inlineStr">
        <is>
          <t> 10.8 </t>
        </is>
      </c>
      <c r="B62" s="18" t="inlineStr">
        <is>
          <t> 91792 </t>
        </is>
      </c>
      <c r="C62" s="16" t="inlineStr">
        <is>
          <t>SINAPI</t>
        </is>
      </c>
      <c r="D62" s="16" t="inlineStr">
        <is>
          <t>(COMPOSIÇÃO REPRESENTATIVA) DO SERVIÇO DE INSTALAÇÃO DE TUBO DE PVC, SÉRIE NORMAL, ESGOTO PREDIAL, DN 40 MM (INSTALADO EM RAMAL DE DESCARGA OU RAMAL DE ESGOTO SANITÁRIO), INCLUSIVE CONEXÕES, CORTES E FIXAÇÕES, PARA PRÉDIOS. AF_10/2015</t>
        </is>
      </c>
      <c r="E62" s="17" t="inlineStr">
        <is>
          <t>M</t>
        </is>
      </c>
      <c r="F62" s="18" t="n">
        <v>24.0</v>
      </c>
      <c r="G62" s="19" t="n">
        <v>40.78</v>
      </c>
      <c r="H62" s="19" t="str">
        <f>TRUNC(G62 * (1 + 27.0 / 100), 2)</f>
      </c>
      <c r="I62" s="19" t="str">
        <f>TRUNC(F62 * h62, 2)</f>
      </c>
      <c r="J62" s="20" t="str">
        <f>i62 / 150121.96</f>
      </c>
    </row>
    <row customHeight="1" ht="48" r="63">
      <c r="A63" s="16" t="inlineStr">
        <is>
          <t> 10.9 </t>
        </is>
      </c>
      <c r="B63" s="18" t="inlineStr">
        <is>
          <t> 98052 </t>
        </is>
      </c>
      <c r="C63" s="16" t="inlineStr">
        <is>
          <t>SINAPI</t>
        </is>
      </c>
      <c r="D63" s="16" t="inlineStr">
        <is>
          <t>TANQUE SÉPTICO CIRCULAR, EM CONCRETO PRÉ-MOLDADO, DIÂMETRO INTERNO = 1,10 M, ALTURA INTERNA = 2,50 M, VOLUME ÚTIL: 2138,2 L (PARA 5 CONTRIBUINTES). AF_05/2018</t>
        </is>
      </c>
      <c r="E63" s="17" t="inlineStr">
        <is>
          <t>UN</t>
        </is>
      </c>
      <c r="F63" s="18" t="n">
        <v>1.0</v>
      </c>
      <c r="G63" s="19" t="n">
        <v>1013.16</v>
      </c>
      <c r="H63" s="19" t="str">
        <f>TRUNC(G63 * (1 + 27.0 / 100), 2)</f>
      </c>
      <c r="I63" s="19" t="str">
        <f>TRUNC(F63 * h63, 2)</f>
      </c>
      <c r="J63" s="20" t="str">
        <f>i63 / 150121.96</f>
      </c>
    </row>
    <row customHeight="1" ht="48" r="64">
      <c r="A64" s="16" t="inlineStr">
        <is>
          <t> 10.10 </t>
        </is>
      </c>
      <c r="B64" s="18" t="inlineStr">
        <is>
          <t> 98094 </t>
        </is>
      </c>
      <c r="C64" s="16" t="inlineStr">
        <is>
          <t>SINAPI</t>
        </is>
      </c>
      <c r="D64" s="16" t="inlineStr">
        <is>
          <t>SUMIDOURO RETANGULAR, EM ALVENARIA COM BLOCOS DE CONCRETO, DIMENSÕES INTERNAS: 0,8 X 1,4 X 3,0 M, ÁREA DE INFILTRAÇÃO: 13,2 M² (PARA 5 CONTRIBUINTES). AF_05/2018</t>
        </is>
      </c>
      <c r="E64" s="17" t="inlineStr">
        <is>
          <t>UN</t>
        </is>
      </c>
      <c r="F64" s="18" t="n">
        <v>1.0</v>
      </c>
      <c r="G64" s="19" t="n">
        <v>1854.02</v>
      </c>
      <c r="H64" s="19" t="str">
        <f>TRUNC(G64 * (1 + 27.0 / 100), 2)</f>
      </c>
      <c r="I64" s="19" t="str">
        <f>TRUNC(F64 * h64, 2)</f>
      </c>
      <c r="J64" s="20" t="str">
        <f>i64 / 150121.96</f>
      </c>
    </row>
    <row customHeight="1" ht="36" r="65">
      <c r="A65" s="16" t="inlineStr">
        <is>
          <t> 10.11 </t>
        </is>
      </c>
      <c r="B65" s="18" t="inlineStr">
        <is>
          <t> MET-TOR-010 </t>
        </is>
      </c>
      <c r="C65" s="16" t="inlineStr">
        <is>
          <t>SETOP</t>
        </is>
      </c>
      <c r="D65" s="16" t="inlineStr">
        <is>
          <t>TORNEIRA METÁLICA PARA IRRIGAÇÃO/JARDIM, ACABAMENTO CROMADO, APLICAÇÃO DE PAREDE, INCLUSIVE FORNECIMENTO E INSTALAÇÃO</t>
        </is>
      </c>
      <c r="E65" s="17" t="inlineStr">
        <is>
          <t>U</t>
        </is>
      </c>
      <c r="F65" s="18" t="n">
        <v>2.0</v>
      </c>
      <c r="G65" s="19" t="n">
        <v>35.3</v>
      </c>
      <c r="H65" s="19" t="str">
        <f>TRUNC(G65 * (1 + 27.0 / 100), 2)</f>
      </c>
      <c r="I65" s="19" t="str">
        <f>TRUNC(F65 * h65, 2)</f>
      </c>
      <c r="J65" s="20" t="str">
        <f>i65 / 150121.96</f>
      </c>
    </row>
    <row customHeight="1" ht="24" r="66">
      <c r="A66" s="8" t="inlineStr">
        <is>
          <t> 11 </t>
        </is>
      </c>
      <c r="B66" s="8"/>
      <c r="C66" s="8"/>
      <c r="D66" s="8" t="inlineStr">
        <is>
          <t>COMPLEMENTOS</t>
        </is>
      </c>
      <c r="E66" s="8"/>
      <c r="F66" s="10"/>
      <c r="G66" s="8"/>
      <c r="H66" s="8"/>
      <c r="I66" s="11" t="n">
        <v>13257.5</v>
      </c>
      <c r="J66" s="12" t="str">
        <f>i66 / 150121.96</f>
      </c>
    </row>
    <row customHeight="1" ht="24" r="67">
      <c r="A67" s="16" t="inlineStr">
        <is>
          <t> 11.1 </t>
        </is>
      </c>
      <c r="B67" s="18" t="inlineStr">
        <is>
          <t> BAN-JAR-005 </t>
        </is>
      </c>
      <c r="C67" s="16" t="inlineStr">
        <is>
          <t>SETOP</t>
        </is>
      </c>
      <c r="D67" s="16" t="inlineStr">
        <is>
          <t>BANCO DE JARDIM EM CONCRETO APARENTE, ACABAMENTO EM VERNIZ, E = 8 CM, 200 X 40 X 55 CM, SEM ENCOSTO</t>
        </is>
      </c>
      <c r="E67" s="17" t="inlineStr">
        <is>
          <t>U</t>
        </is>
      </c>
      <c r="F67" s="18" t="n">
        <v>8.0</v>
      </c>
      <c r="G67" s="19" t="n">
        <v>160.47</v>
      </c>
      <c r="H67" s="19" t="str">
        <f>TRUNC(G67 * (1 + 27.0 / 100), 2)</f>
      </c>
      <c r="I67" s="19" t="str">
        <f>TRUNC(F67 * h67, 2)</f>
      </c>
      <c r="J67" s="20" t="str">
        <f>i67 / 150121.96</f>
      </c>
    </row>
    <row customHeight="1" ht="36" r="68">
      <c r="A68" s="16" t="inlineStr">
        <is>
          <t> 11.2 </t>
        </is>
      </c>
      <c r="B68" s="18" t="inlineStr">
        <is>
          <t> 98511 </t>
        </is>
      </c>
      <c r="C68" s="16" t="inlineStr">
        <is>
          <t>SINAPI</t>
        </is>
      </c>
      <c r="D68" s="16" t="inlineStr">
        <is>
          <t>PLANTIO DE ÁRVORE ORNAMENTAL COM ALTURA DE MUDA MAIOR QUE 2,00 M E MENOR OU IGUAL A 4,00 M. AF_05/2018</t>
        </is>
      </c>
      <c r="E68" s="17" t="inlineStr">
        <is>
          <t>UN</t>
        </is>
      </c>
      <c r="F68" s="18" t="n">
        <v>15.0</v>
      </c>
      <c r="G68" s="19" t="n">
        <v>103.15</v>
      </c>
      <c r="H68" s="19" t="str">
        <f>TRUNC(G68 * (1 + 27.0 / 100), 2)</f>
      </c>
      <c r="I68" s="19" t="str">
        <f>TRUNC(F68 * h68, 2)</f>
      </c>
      <c r="J68" s="20" t="str">
        <f>i68 / 150121.96</f>
      </c>
    </row>
    <row customHeight="1" ht="24" r="69">
      <c r="A69" s="16" t="inlineStr">
        <is>
          <t> 11.3 </t>
        </is>
      </c>
      <c r="B69" s="18" t="inlineStr">
        <is>
          <t> LIM-GER-005 </t>
        </is>
      </c>
      <c r="C69" s="16" t="inlineStr">
        <is>
          <t>SETOP</t>
        </is>
      </c>
      <c r="D69" s="16" t="inlineStr">
        <is>
          <t>LIMPEZA FINAL PARA ENTREGA DA OBRA</t>
        </is>
      </c>
      <c r="E69" s="17" t="inlineStr">
        <is>
          <t>m²</t>
        </is>
      </c>
      <c r="F69" s="18" t="n">
        <v>6.0</v>
      </c>
      <c r="G69" s="19" t="n">
        <v>5.07</v>
      </c>
      <c r="H69" s="19" t="str">
        <f>TRUNC(G69 * (1 + 27.0 / 100), 2)</f>
      </c>
      <c r="I69" s="19" t="str">
        <f>TRUNC(F69 * h69, 2)</f>
      </c>
      <c r="J69" s="20" t="str">
        <f>i69 / 150121.96</f>
      </c>
    </row>
    <row customHeight="1" ht="24" r="70">
      <c r="A70" s="16" t="inlineStr">
        <is>
          <t> 11.4 </t>
        </is>
      </c>
      <c r="B70" s="18" t="inlineStr">
        <is>
          <t> 040726 </t>
        </is>
      </c>
      <c r="C70" s="16" t="inlineStr">
        <is>
          <t>SBC</t>
        </is>
      </c>
      <c r="D70" s="16" t="inlineStr">
        <is>
          <t>CORRIMAO/GUARDA CORPO PASSARELA-TUBOS SOLDADOS 1"" E 1.1/2""</t>
        </is>
      </c>
      <c r="E70" s="17" t="inlineStr">
        <is>
          <t>M</t>
        </is>
      </c>
      <c r="F70" s="18" t="n">
        <v>98.0</v>
      </c>
      <c r="G70" s="19" t="n">
        <v>77.33</v>
      </c>
      <c r="H70" s="19" t="str">
        <f>TRUNC(G70 * (1 + 27.0 / 100), 2)</f>
      </c>
      <c r="I70" s="19" t="str">
        <f>TRUNC(F70 * h70, 2)</f>
      </c>
      <c r="J70" s="20" t="str">
        <f>i70 / 150121.96</f>
      </c>
    </row>
    <row r="71">
      <c r="A71" s="63"/>
      <c r="B71" s="63"/>
      <c r="C71" s="63"/>
      <c r="D71" s="63"/>
      <c r="E71" s="63"/>
      <c r="F71" s="63"/>
      <c r="G71" s="63"/>
      <c r="H71" s="63"/>
      <c r="I71" s="63"/>
      <c r="J71" s="63"/>
    </row>
    <row r="72">
      <c r="A72" s="57"/>
      <c r="B72" s="57"/>
      <c r="C72" s="57"/>
      <c r="D72" s="62"/>
      <c r="E72" s="57"/>
      <c r="F72" s="55" t="inlineStr">
        <is>
          <t>Total sem BDI</t>
        </is>
      </c>
      <c r="G72" s="57"/>
      <c r="H72" s="58" t="n">
        <v>118226.82</v>
      </c>
      <c r="I72" s="57"/>
      <c r="J72" s="57"/>
    </row>
    <row r="73">
      <c r="A73" s="57"/>
      <c r="B73" s="57"/>
      <c r="C73" s="57"/>
      <c r="D73" s="62"/>
      <c r="E73" s="57"/>
      <c r="F73" s="55" t="inlineStr">
        <is>
          <t>Total do BDI</t>
        </is>
      </c>
      <c r="G73" s="57"/>
      <c r="H73" s="58" t="n">
        <v>31895.14</v>
      </c>
      <c r="I73" s="57"/>
      <c r="J73" s="57"/>
    </row>
    <row r="74">
      <c r="A74" s="57"/>
      <c r="B74" s="57"/>
      <c r="C74" s="57"/>
      <c r="D74" s="62"/>
      <c r="E74" s="57"/>
      <c r="F74" s="55" t="inlineStr">
        <is>
          <t>Total Geral</t>
        </is>
      </c>
      <c r="G74" s="57"/>
      <c r="H74" s="58" t="n">
        <v>150121.96</v>
      </c>
      <c r="I74" s="57"/>
      <c r="J74" s="57"/>
    </row>
    <row customHeight="1" ht="60" r="75">
      <c r="A75" s="56"/>
      <c r="B75" s="56"/>
      <c r="C75" s="56"/>
      <c r="D75" s="56"/>
      <c r="E75" s="56"/>
      <c r="F75" s="56"/>
      <c r="G75" s="56"/>
      <c r="H75" s="56"/>
      <c r="I75" s="56"/>
      <c r="J75" s="56"/>
    </row>
    <row customHeight="1" ht="70" r="76">
      <c r="A76" s="63" t="inlineStr">
        <is>
          <t>_______________________________________________________________
Leandro Dutra Garcia
Engº Civil CREA 160619/D</t>
        </is>
      </c>
    </row>
  </sheetData>
  <sheetCalcPr fullCalcOnLoad="1"/>
  <mergeCells count="17">
    <mergeCell ref="E1:f1"/>
    <mergeCell ref="g1:h1"/>
    <mergeCell ref="i1:j1"/>
    <mergeCell ref="E2:f2"/>
    <mergeCell ref="g2:h2"/>
    <mergeCell ref="i2:j2"/>
    <mergeCell ref="A3:j3"/>
    <mergeCell ref="A72:C72"/>
    <mergeCell ref="f72:g72"/>
    <mergeCell ref="h72:j72"/>
    <mergeCell ref="A73:C73"/>
    <mergeCell ref="f73:g73"/>
    <mergeCell ref="h73:j73"/>
    <mergeCell ref="A74:C74"/>
    <mergeCell ref="f74:g74"/>
    <mergeCell ref="h74:j74"/>
    <mergeCell ref="A76:j76"/>
  </mergeCells>
  <printOptions verticalCentered="0" horizontalCentered="0" headings="0" gridLines="0"/>
  <pageMargins right="0.5" left="0.5" bottom="1" top="1" footer="0.5" header="0.5"/>
  <pageSetup fitToWidth="1" fitToHeight="0" paperSize="9" orientation="landscape"/>
  <headerFooter differentFirst="0">
    <oddHeader>&amp;L &amp;CPrefeitura Municipal de Guapé
CNPJ: 18.239.616/0001-85 &amp;R</oddHeader>
    <oddFooter>&amp;L &amp;CPraça Dr Passos Maia  - Centro - Guapé / MG
(35) 99896-5327 / leandro.l.dg@hotmail.com &amp;R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2020-02-20T14:11:48Z</dcterms:created>
  <cp:revision>0</cp:revision>
</cp:coreProperties>
</file>